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705" tabRatio="698" activeTab="0"/>
  </bookViews>
  <sheets>
    <sheet name="Biểu 48" sheetId="1" r:id="rId1"/>
    <sheet name="Biểu 49" sheetId="2" r:id="rId2"/>
    <sheet name="Biểu 50" sheetId="3" r:id="rId3"/>
    <sheet name="Biểu 51" sheetId="4" r:id="rId4"/>
    <sheet name="Biểu 52" sheetId="5" r:id="rId5"/>
    <sheet name="Biểu 53-H+X" sheetId="6" r:id="rId6"/>
    <sheet name="Biểu 54" sheetId="7" r:id="rId7"/>
    <sheet name="Biểu 55" sheetId="8" r:id="rId8"/>
    <sheet name="Biểu 56" sheetId="9" r:id="rId9"/>
    <sheet name="Biểu 57" sheetId="10" r:id="rId10"/>
    <sheet name="Biểu 58-xã" sheetId="11" r:id="rId11"/>
    <sheet name="Biểu 59-xã" sheetId="12" r:id="rId12"/>
    <sheet name="Biểu 60-xã" sheetId="13" r:id="rId13"/>
    <sheet name="Biểu 61- H+X" sheetId="14" r:id="rId14"/>
    <sheet name="Biểu 63 - H+X" sheetId="15" r:id="rId15"/>
    <sheet name="Biểu 64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DP">#REF!</definedName>
    <definedName name="AKHAC">#REF!</definedName>
    <definedName name="ALTINH">#REF!</definedName>
    <definedName name="Anguon">'[2]Dt 2001'!#REF!</definedName>
    <definedName name="ANN">#REF!</definedName>
    <definedName name="ANQD">#REF!</definedName>
    <definedName name="ANQQH">'[2]Dt 2001'!#REF!</definedName>
    <definedName name="ANSNN">'[2]Dt 2001'!#REF!</definedName>
    <definedName name="ANSNNxnk">'[2]Dt 2001'!#REF!</definedName>
    <definedName name="APC">'[2]Dt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'[2]Dt 2001'!#REF!</definedName>
    <definedName name="NSNN">'[2]Dt 2001'!#REF!</definedName>
    <definedName name="PC">'[2]Dt 2001'!#REF!</definedName>
    <definedName name="Phan_cap">#REF!</definedName>
    <definedName name="Phi_le_phi">#REF!</definedName>
    <definedName name="PRINT_AREA_MI">#REF!</definedName>
    <definedName name="_xlnm.Print_Titles" localSheetId="2">'Biểu 50'!$5:$8</definedName>
    <definedName name="_xlnm.Print_Titles" localSheetId="4">'Biểu 52'!$5:$7</definedName>
    <definedName name="_xlnm.Print_Titles" localSheetId="5">'Biểu 53-H+X'!$6:$11</definedName>
    <definedName name="_xlnm.Print_Titles" localSheetId="9">'Biểu 57'!$6:$8</definedName>
    <definedName name="_xlnm.Print_Titles" localSheetId="13">'Biểu 61- H+X'!$5:$9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<sst xmlns="http://schemas.openxmlformats.org/spreadsheetml/2006/main" count="1877" uniqueCount="652">
  <si>
    <t xml:space="preserve">  Chi khoa học và công nghệ </t>
  </si>
  <si>
    <t>Bổ  sung cân đối ngân sách</t>
  </si>
  <si>
    <t>S
T
T</t>
  </si>
  <si>
    <t xml:space="preserve">Thu </t>
  </si>
  <si>
    <t>NSNN</t>
  </si>
  <si>
    <t>Nội dung</t>
  </si>
  <si>
    <t>Dự toán</t>
  </si>
  <si>
    <t>Tổng thu</t>
  </si>
  <si>
    <t>NSĐP</t>
  </si>
  <si>
    <t>A</t>
  </si>
  <si>
    <t>B</t>
  </si>
  <si>
    <t>Thu nội địa</t>
  </si>
  <si>
    <t>Lệ phí trước bạ</t>
  </si>
  <si>
    <t>Thuế sử dụng đất phi nông nghiệp</t>
  </si>
  <si>
    <t>Thuế thu nhập cá nhân</t>
  </si>
  <si>
    <t>-</t>
  </si>
  <si>
    <t>Thu tiền cấp quyền khai thác khoáng sản</t>
  </si>
  <si>
    <t>Thu khác ngân sách</t>
  </si>
  <si>
    <t>I</t>
  </si>
  <si>
    <t>II</t>
  </si>
  <si>
    <t>III</t>
  </si>
  <si>
    <t>IV</t>
  </si>
  <si>
    <t>V</t>
  </si>
  <si>
    <t>C</t>
  </si>
  <si>
    <t>Chi đầu tư phát triển</t>
  </si>
  <si>
    <t>Vốn ngoài nước</t>
  </si>
  <si>
    <t>Chi đầu tư từ nguồn thu tiền sử dụng đất</t>
  </si>
  <si>
    <t>Chi thường xuyên</t>
  </si>
  <si>
    <t>Dự phòng ngân sách</t>
  </si>
  <si>
    <t>TỔNG SỐ</t>
  </si>
  <si>
    <t>Tên đơn vị</t>
  </si>
  <si>
    <t>Trong đó</t>
  </si>
  <si>
    <t>Trong đó:</t>
  </si>
  <si>
    <t xml:space="preserve">Chi đầu tư phát triển </t>
  </si>
  <si>
    <t>Thu kết dư</t>
  </si>
  <si>
    <t>(Dùng cho ngân sách các cấp chính quyền địa phương)</t>
  </si>
  <si>
    <t>Thu bổ sung từ ngân sách cấp trên</t>
  </si>
  <si>
    <t>Bao gồm</t>
  </si>
  <si>
    <t>năm</t>
  </si>
  <si>
    <t>1=2+3</t>
  </si>
  <si>
    <t>sách</t>
  </si>
  <si>
    <t>4=5+6</t>
  </si>
  <si>
    <t xml:space="preserve"> Chi khoa học và công nghệ</t>
  </si>
  <si>
    <t>nghệ</t>
  </si>
  <si>
    <t>địa</t>
  </si>
  <si>
    <t>phương</t>
  </si>
  <si>
    <t>7=4/1</t>
  </si>
  <si>
    <t>8=5/2</t>
  </si>
  <si>
    <t>9=6/3</t>
  </si>
  <si>
    <t>học</t>
  </si>
  <si>
    <t>và</t>
  </si>
  <si>
    <t>công</t>
  </si>
  <si>
    <t>nguồn</t>
  </si>
  <si>
    <t>Chia ra</t>
  </si>
  <si>
    <t>3=2/1</t>
  </si>
  <si>
    <t xml:space="preserve">Dự toán </t>
  </si>
  <si>
    <t>Thu NSĐP được hưởng theo phân cấp</t>
  </si>
  <si>
    <t>Thu NSĐP hưởng 100%</t>
  </si>
  <si>
    <t>Tổng chi cân đối NSĐP</t>
  </si>
  <si>
    <t>CHI CÂN ĐỐI NGÂN SÁCH ĐỊA PHƯƠNG</t>
  </si>
  <si>
    <t>Quyết toán</t>
  </si>
  <si>
    <t>STT</t>
  </si>
  <si>
    <t>So sánh</t>
  </si>
  <si>
    <t xml:space="preserve">               - Chi đầu tư phát triển chi tiết theo 13 lĩnh vực như chi thường xuyên.</t>
  </si>
  <si>
    <t>5=3/1</t>
  </si>
  <si>
    <t>6=4/2</t>
  </si>
  <si>
    <t xml:space="preserve"> Chi giáo dục - đào tạo và dạy nghề</t>
  </si>
  <si>
    <t>Chi chuyển nguồn sang năm sau</t>
  </si>
  <si>
    <t>Thu chuyển nguồn từ năm trước chuyển sang</t>
  </si>
  <si>
    <t>Chi đầu tư cho các dự án</t>
  </si>
  <si>
    <t>Chi tạo nguồn, điều chỉnh tiền lương</t>
  </si>
  <si>
    <t>Vốn trong nước</t>
  </si>
  <si>
    <t>Thu bổ sung cân đối ngân sách</t>
  </si>
  <si>
    <t>chuyển</t>
  </si>
  <si>
    <t>sang</t>
  </si>
  <si>
    <t>sau</t>
  </si>
  <si>
    <t xml:space="preserve">TỔNG CHI NGÂN SÁCH ĐỊA PHƯƠNG </t>
  </si>
  <si>
    <t>Chi CTMTQG</t>
  </si>
  <si>
    <t>Tổng số</t>
  </si>
  <si>
    <t>Chi khoa học và công nghệ</t>
  </si>
  <si>
    <t>Thu bổ sung có mục tiêu</t>
  </si>
  <si>
    <t>Đơn vị: Triệu đồng</t>
  </si>
  <si>
    <t>khoa</t>
  </si>
  <si>
    <t>Tuyệt đối</t>
  </si>
  <si>
    <t>3=2-1</t>
  </si>
  <si>
    <t>4=2/1</t>
  </si>
  <si>
    <t>(%)</t>
  </si>
  <si>
    <t>So sánh (%)</t>
  </si>
  <si>
    <t xml:space="preserve">  Chi giáo dục - đào tạo và dạy nghề</t>
  </si>
  <si>
    <t>Bổ sung có mục tiêu</t>
  </si>
  <si>
    <t xml:space="preserve">CHI CHUYỂN NGUỒN SANG NĂM SAU </t>
  </si>
  <si>
    <t>Gồm</t>
  </si>
  <si>
    <t>3=4+5</t>
  </si>
  <si>
    <t>17=9/1</t>
  </si>
  <si>
    <t>18=10/2</t>
  </si>
  <si>
    <t>19=11/3</t>
  </si>
  <si>
    <t>20=12/4</t>
  </si>
  <si>
    <t>21=13/5</t>
  </si>
  <si>
    <t>22=14/6</t>
  </si>
  <si>
    <t>23=15/7</t>
  </si>
  <si>
    <t>24=16/8</t>
  </si>
  <si>
    <t>11=12+13</t>
  </si>
  <si>
    <t>TỔNG CHI NSĐP</t>
  </si>
  <si>
    <t>TỔNG NGUỒN THU NSĐP</t>
  </si>
  <si>
    <t>Chi các chương trình mục tiêu</t>
  </si>
  <si>
    <t>Chi các chương trình mục tiêu quốc gia</t>
  </si>
  <si>
    <t>Chi các chương trình mục tiêu, nhiệm vụ</t>
  </si>
  <si>
    <t>CHI CÂN ĐỐI NSĐP</t>
  </si>
  <si>
    <t>CHI CÁC CHƯƠNG TRÌNH MỤC TIÊU</t>
  </si>
  <si>
    <t xml:space="preserve">Chi quốc phòng </t>
  </si>
  <si>
    <t>Chi an ninh và trật tự an toàn xã hội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</si>
  <si>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</si>
  <si>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</si>
  <si>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</si>
  <si>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</si>
  <si>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</si>
  <si>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</si>
  <si>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Chi hoạt động của cơ quan quản lý nhà nước, đảng, đoàn thể</t>
  </si>
  <si>
    <t>Chi bảo đảm xã hội</t>
  </si>
  <si>
    <t>Chi thường xuyên khác</t>
  </si>
  <si>
    <t>Đầu tư phát triển</t>
  </si>
  <si>
    <t>Biểu mẫu số 48</t>
  </si>
  <si>
    <t>Biểu mẫu số 50</t>
  </si>
  <si>
    <t>Biểu mẫu số 52</t>
  </si>
  <si>
    <t>Biểu mẫu số 53</t>
  </si>
  <si>
    <t>Vốn đầu tư để thực hiện các CTMT, nhiệm vụ</t>
  </si>
  <si>
    <t>Vốn sự nghiệp thực hiện các chế độ, chính sách</t>
  </si>
  <si>
    <t>Vốn thực hiện các CTMT quốc gia</t>
  </si>
  <si>
    <t>Kinh phí sự nghiệp</t>
  </si>
  <si>
    <t>Biểu mẫu số 51</t>
  </si>
  <si>
    <t>Biểu mẫu số 58</t>
  </si>
  <si>
    <t>Biểu mẫu số 59</t>
  </si>
  <si>
    <t>Biểu mẫu số 61</t>
  </si>
  <si>
    <t>Chi giáo dục - đào tạo và dạy nghề</t>
  </si>
  <si>
    <t>Thu NSĐP hưởng từ các khoản thu phân chia</t>
  </si>
  <si>
    <t>Trong đó: Chia theo lĩnh vực</t>
  </si>
  <si>
    <t>Trong đó: Chia theo nguồn vốn</t>
  </si>
  <si>
    <t xml:space="preserve">Nội dung </t>
  </si>
  <si>
    <t>Ngân sách cấp  huyện</t>
  </si>
  <si>
    <t>Ngân sách xã</t>
  </si>
  <si>
    <t>QUYẾT TOÁN CHI NGÂN SÁCH ĐỊA PHƯƠNG, CHI NGÂN SÁCH CẤP HUYỆN VÀ NGÂN SÁCH XÃ</t>
  </si>
  <si>
    <t>Ngân sách địa phương</t>
  </si>
  <si>
    <t>KẾT DƯ NSĐP</t>
  </si>
  <si>
    <t>Biểu mẫu số 49</t>
  </si>
  <si>
    <t>QUYẾT TOÁN CÂN ĐỐI NGUỒN THU, CHI NGÂN SÁCH</t>
  </si>
  <si>
    <t>Nguồn thu ngân sách</t>
  </si>
  <si>
    <t>Thu ngân sách được hưởng theo phân cấp</t>
  </si>
  <si>
    <t xml:space="preserve"> Bổ sung cân đối ngân sách</t>
  </si>
  <si>
    <t xml:space="preserve"> Bổ sung có mục tiêu</t>
  </si>
  <si>
    <t>Thu chuyển nguồn năm trước chuyển sang</t>
  </si>
  <si>
    <t>Chi ngân sách</t>
  </si>
  <si>
    <t>Chi bổ sung cho ngân sách cấp dưới</t>
  </si>
  <si>
    <t>Chi bổ sung cân đối ngân sách</t>
  </si>
  <si>
    <t>Chi bổ sung có mục tiêu</t>
  </si>
  <si>
    <t>Kết dư</t>
  </si>
  <si>
    <t>NGÂN SÁCH CẤP HUYỆN</t>
  </si>
  <si>
    <t>NGÂN SÁCH XÃ</t>
  </si>
  <si>
    <t>Chi thuộc nhiệm vụ của ngân sách xã</t>
  </si>
  <si>
    <t>- Thuế giá trị gia tăng</t>
  </si>
  <si>
    <t>- Thuế thu nhập doanh nghiệp</t>
  </si>
  <si>
    <t>- Thuế tài nguyên</t>
  </si>
  <si>
    <t>Chi thuộc nhiệm vụ của ngân sách cấp huyện</t>
  </si>
  <si>
    <t xml:space="preserve">Kết dư </t>
  </si>
  <si>
    <t>Tương đối (%)</t>
  </si>
  <si>
    <t>TỔNG CHI CẤP HUYỆN</t>
  </si>
  <si>
    <t xml:space="preserve">CHI BS CHO NGÂN SÁCH CẤP DƯỚI </t>
  </si>
  <si>
    <t xml:space="preserve">- </t>
  </si>
  <si>
    <t>Bổ sung cân đối</t>
  </si>
  <si>
    <t>Chi Giáo dục - đào tạo và dạy nghề</t>
  </si>
  <si>
    <t>Chi Khoa học và công nghệ</t>
  </si>
  <si>
    <t>CT 135</t>
  </si>
  <si>
    <t>Thanh tra</t>
  </si>
  <si>
    <t xml:space="preserve">Tên đơn vị </t>
  </si>
  <si>
    <t>SN giáo dục và đào tạo dạy nghề</t>
  </si>
  <si>
    <t>Sự nghiệp y tế</t>
  </si>
  <si>
    <t>SN văn hóa thông tin</t>
  </si>
  <si>
    <t>SN phát thanh truyền hình</t>
  </si>
  <si>
    <t>SN thể dục thể thao</t>
  </si>
  <si>
    <t>Sự nghiệp xã hội</t>
  </si>
  <si>
    <t>Sự nghiệp kinh tế</t>
  </si>
  <si>
    <t>Sự nghiệp môi trường</t>
  </si>
  <si>
    <t>Chi khác ngân sách</t>
  </si>
  <si>
    <t>CTMTQG giảm nghèo</t>
  </si>
  <si>
    <t>CTMTQG nông thôn mới</t>
  </si>
  <si>
    <t>CTMT tái cơ cấu KT nông nghiệp (QĐ 1776)</t>
  </si>
  <si>
    <t>CS trợ giúp pháp lý theo QĐ 32</t>
  </si>
  <si>
    <t>CTMT giáo dục nghề nghiệp, việc làm và ATLĐ</t>
  </si>
  <si>
    <t>CTMT phát triển hệ thống trợ giúp XH</t>
  </si>
  <si>
    <t xml:space="preserve">CTMT phát triển lâm nghiệp bền vững </t>
  </si>
  <si>
    <t>CTMTQG giảm nghèo bền vững</t>
  </si>
  <si>
    <t xml:space="preserve">Thủy lợi </t>
  </si>
  <si>
    <t>Kinh tế khác</t>
  </si>
  <si>
    <t>Giao thông</t>
  </si>
  <si>
    <t>phßng</t>
  </si>
  <si>
    <t xml:space="preserve">SN giáo dục  </t>
  </si>
  <si>
    <t>SNĐT và dạy nghề</t>
  </si>
  <si>
    <t>nghiÖp</t>
  </si>
  <si>
    <t>v¨n ho¸</t>
  </si>
  <si>
    <t>HT tiền điện hộ nghèo, hộ CS</t>
  </si>
  <si>
    <t>Chính sách người có uy tín</t>
  </si>
  <si>
    <t>CS trợ giúp các đối tượng BTXH theo NĐ 136</t>
  </si>
  <si>
    <t>Các hoạt động ĐBXH khác</t>
  </si>
  <si>
    <t>HT hộ nghèo theo QĐ 102</t>
  </si>
  <si>
    <t>SN nông nghiệp</t>
  </si>
  <si>
    <t>SN thủy lợi</t>
  </si>
  <si>
    <t>SN giao thông</t>
  </si>
  <si>
    <t>SN kinh tế khác</t>
  </si>
  <si>
    <t>lý</t>
  </si>
  <si>
    <t>kh¸c</t>
  </si>
  <si>
    <t>CT theo QĐ 293</t>
  </si>
  <si>
    <t>HT phát triển SX</t>
  </si>
  <si>
    <t>Duy tu, bảo dưỡng CT sau ĐT</t>
  </si>
  <si>
    <t>DA nâng cao NL, giám sát ĐG TH CT</t>
  </si>
  <si>
    <t>NCNL cho cộng đồng và CBCS các xã ĐBKK</t>
  </si>
  <si>
    <t>Dự án đầu tư XD (vốn TW)</t>
  </si>
  <si>
    <t>Dự án đầu tư (vốn trái phiếu chính phủ)</t>
  </si>
  <si>
    <t>Tập huấn, tuyên truyền</t>
  </si>
  <si>
    <t>Đào tạo nghề cho LĐNT</t>
  </si>
  <si>
    <t>Thủy lợi</t>
  </si>
  <si>
    <t>Chuyển nguồn</t>
  </si>
  <si>
    <t>An</t>
  </si>
  <si>
    <t>ĐT nghề cho LĐ nông thôn</t>
  </si>
  <si>
    <t>th«ng</t>
  </si>
  <si>
    <t>PTTH</t>
  </si>
  <si>
    <t xml:space="preserve">thÓ </t>
  </si>
  <si>
    <t>HT sản xuất NN</t>
  </si>
  <si>
    <t>HT đất trồng lúa</t>
  </si>
  <si>
    <t>HT trồng cây cao su</t>
  </si>
  <si>
    <t>Các hoạt động khác của SNNN</t>
  </si>
  <si>
    <t>Thủy lợi phí</t>
  </si>
  <si>
    <t>Khắc phục hậu quả hạn hán vụ Đông Xuân</t>
  </si>
  <si>
    <t>Thuỷ lợi khác</t>
  </si>
  <si>
    <t>kinh tÕ</t>
  </si>
  <si>
    <t>hµnh</t>
  </si>
  <si>
    <t>ng©n</t>
  </si>
  <si>
    <t>Giáo dục</t>
  </si>
  <si>
    <t>Chưa phân bổ</t>
  </si>
  <si>
    <t>Văn hóa</t>
  </si>
  <si>
    <t xml:space="preserve"> Giáo dục</t>
  </si>
  <si>
    <t>ninh</t>
  </si>
  <si>
    <t>häc</t>
  </si>
  <si>
    <t>tin</t>
  </si>
  <si>
    <t>thao</t>
  </si>
  <si>
    <t>SN kh¸c</t>
  </si>
  <si>
    <t>chÝnh</t>
  </si>
  <si>
    <t>s¸ch</t>
  </si>
  <si>
    <t xml:space="preserve">B </t>
  </si>
  <si>
    <t>Cộng Chi đầu tư PT</t>
  </si>
  <si>
    <t>Cộng chi TX</t>
  </si>
  <si>
    <t>Văn phòng HĐND-UBND</t>
  </si>
  <si>
    <t xml:space="preserve"> - Chi đầu tư phát triển</t>
  </si>
  <si>
    <t xml:space="preserve"> - Chi thường xuyên</t>
  </si>
  <si>
    <t>Huyện ủy</t>
  </si>
  <si>
    <t>Đoàn thể</t>
  </si>
  <si>
    <t>Phòng Nông nghiệp</t>
  </si>
  <si>
    <t>Phòng Tài chính KH</t>
  </si>
  <si>
    <t>Phòng Tài nguyên MT</t>
  </si>
  <si>
    <t>Phòng Tư pháp</t>
  </si>
  <si>
    <t>Phòng KT hạ tầng</t>
  </si>
  <si>
    <t>Phòng Y tế</t>
  </si>
  <si>
    <t>Phòng Nội vụ</t>
  </si>
  <si>
    <t>Phòng LĐTBXH</t>
  </si>
  <si>
    <t>Phòng Dân tộc</t>
  </si>
  <si>
    <t>Phòng Giáo dục-ĐT</t>
  </si>
  <si>
    <t>Văn phòng ĐKQSD đất</t>
  </si>
  <si>
    <t>Tổ chức phát triển quỹ đất</t>
  </si>
  <si>
    <t>Trạm khuyến nông</t>
  </si>
  <si>
    <t>Nhà khách</t>
  </si>
  <si>
    <t>Đài truyền hình</t>
  </si>
  <si>
    <t>Phòng Văn hóa-TT</t>
  </si>
  <si>
    <t>Công an</t>
  </si>
  <si>
    <t>Huyện đội</t>
  </si>
  <si>
    <t>Ban QLDA</t>
  </si>
  <si>
    <t>Các khoản chi từ NS</t>
  </si>
  <si>
    <t>Chi nộp ngân sách cấp trên</t>
  </si>
  <si>
    <t>Các khoản chưa phân bổ</t>
  </si>
  <si>
    <t>Đơn vị: đồng</t>
  </si>
  <si>
    <t>Sự nghiệp khoa học CN</t>
  </si>
  <si>
    <t>Biểu mẫu số 55</t>
  </si>
  <si>
    <t>Chi giao thông</t>
  </si>
  <si>
    <t>Chi nông nghiệp, lâm nghiệp, thủy lợi, thủy sản</t>
  </si>
  <si>
    <t>Biểu mẫu số 56</t>
  </si>
  <si>
    <t>Biểu mẫu số 57</t>
  </si>
  <si>
    <t>Dự toán được cấp</t>
  </si>
  <si>
    <t>Kinh phí thực hiện trong năm</t>
  </si>
  <si>
    <t>Nguồn còn lại</t>
  </si>
  <si>
    <t>Dự toán đầu năm</t>
  </si>
  <si>
    <t>Chuyển nguồn năm sau</t>
  </si>
  <si>
    <t>Hủy bỏ</t>
  </si>
  <si>
    <t>Biểu mẫu số 60</t>
  </si>
  <si>
    <t>Tổng thu NSĐP</t>
  </si>
  <si>
    <t>Thu NSĐP hưởng theo phân cấp</t>
  </si>
  <si>
    <t>Số bổ sung cân đối từ ngân sách cấp trên</t>
  </si>
  <si>
    <t>Thu từ kết dư năm trước</t>
  </si>
  <si>
    <t>Biểu mẫu số 63</t>
  </si>
  <si>
    <t>TỔNG HỢP CÁC QUỸ TÀI CHÍNH NHÀ NƯỚC</t>
  </si>
  <si>
    <t>Tên Quỹ</t>
  </si>
  <si>
    <t>Tổng nguồn vốn phát sinh trong năm</t>
  </si>
  <si>
    <t>Tổng sử dụng nguồn vốn trong năm</t>
  </si>
  <si>
    <t>Chênh lệch nguồn trong năm</t>
  </si>
  <si>
    <t>5=2-4</t>
  </si>
  <si>
    <t>9=6-8</t>
  </si>
  <si>
    <t>10=1+6-8</t>
  </si>
  <si>
    <t>Biểu mẫu số 64</t>
  </si>
  <si>
    <t xml:space="preserve">(KHÔNG BAO GỒM NGUỒN NGÂN SÁCH NHÀ NƯỚC) </t>
  </si>
  <si>
    <t xml:space="preserve">             (2) Chi các chương trình mục tiêu quốc gia, chương trình 135, dự án trồng mới 5 triệu ha rừng</t>
  </si>
  <si>
    <t xml:space="preserve">             (3) Hộ ngân sách được Thủ tướng Chính phủ giao phải là đơn vị dự toán cấp 1</t>
  </si>
  <si>
    <t>Biểu mẫu số 33</t>
  </si>
  <si>
    <t>KẾ HOẠCH THU DỊCH VỤ CỦA ĐƠN VỊ SỰ NGHIỆP CÔNG NĂM KẾ HOẠCH</t>
  </si>
  <si>
    <t>(KHÔNG BAO GỒM NGUỒN NSNN ĐẶT HÀNG, GIAO NHIỆM VỤ)</t>
  </si>
  <si>
    <t>Ước thực hiện năm hiện hành</t>
  </si>
  <si>
    <t>Kế hoạch</t>
  </si>
  <si>
    <t>- Sự nghiệp giáo dục - đào tạo và dạy nghề</t>
  </si>
  <si>
    <t>- Sự nghiệp y tế</t>
  </si>
  <si>
    <t>-….</t>
  </si>
  <si>
    <t>Các đơn vị do cấp tỉnh quản lý</t>
  </si>
  <si>
    <t>Các đơn vị do cấp huyện quản lý</t>
  </si>
  <si>
    <t>Các đơn vị do cấp xã quản lý</t>
  </si>
  <si>
    <t>QUYẾT TOÁN CHI ĐẦU TƯ PHÁT TRIỂN CỦA NGÂN SÁCH CẤP HUYỆN</t>
  </si>
  <si>
    <t>TỔNG HỢP QUYẾT TOÁN CHI THƯỜNG XUYÊN NGÂN SÁCH CẤP HUYỆN</t>
  </si>
  <si>
    <t>Chi giáo dục, đào tạo và dạy nghề</t>
  </si>
  <si>
    <t xml:space="preserve">Nội dung   </t>
  </si>
  <si>
    <t>Ngân sách cấp huyện</t>
  </si>
  <si>
    <t>TỔNG SỐ (A+B+C+D)</t>
  </si>
  <si>
    <t>THU NGÂN SÁCH NHÀ NƯỚC</t>
  </si>
  <si>
    <t>Thu từ khu vực doanh nghiệp nhà nước do địa phương quản lý</t>
  </si>
  <si>
    <t>Thu từ khu vực kinh tế ngoài quốc doanh</t>
  </si>
  <si>
    <t>Phí, lệ phí</t>
  </si>
  <si>
    <t>Bao gồm: - Phí, lệ phí do cơ quan nhà nước trung ương thu</t>
  </si>
  <si>
    <t xml:space="preserve">  - Phí, lệ phí do cơ quan nhà nước tỉnh, huyện thu</t>
  </si>
  <si>
    <t>Trong đó: - phí bảo vệ môi trường đối với khai thác khoáng sản</t>
  </si>
  <si>
    <t>Tiền sử dụng đất</t>
  </si>
  <si>
    <t xml:space="preserve"> - Thu từ đấu giá QSD đất</t>
  </si>
  <si>
    <t xml:space="preserve"> - Thu cấp QSD đất</t>
  </si>
  <si>
    <t xml:space="preserve"> + Thu cấp QSD đất trên địa bàn thị trấn</t>
  </si>
  <si>
    <t xml:space="preserve"> + Thu cấp QSD đất trên địa bàn các xã</t>
  </si>
  <si>
    <t>Thu tiền thuê đất, mặt nước</t>
  </si>
  <si>
    <t xml:space="preserve"> - Thu khác ngân sách trung ương</t>
  </si>
  <si>
    <t xml:space="preserve"> - Thu khác cân đối ngân sách </t>
  </si>
  <si>
    <t xml:space="preserve">  + Thu khác tỉnh hưởng</t>
  </si>
  <si>
    <t xml:space="preserve">  + Thu khác huyện hưởng</t>
  </si>
  <si>
    <t xml:space="preserve">  + Thu khác xã hưởng</t>
  </si>
  <si>
    <t>Thu từ quỹ đất công ích và thu hoa lợi công sản khác</t>
  </si>
  <si>
    <t>THU CHUYỂN GIAO NGÂN SÁCH</t>
  </si>
  <si>
    <t xml:space="preserve">Bổ sung cân đối </t>
  </si>
  <si>
    <t>2.1</t>
  </si>
  <si>
    <t xml:space="preserve">Bổ sung có mục tiêu bằng nguồn vốn trong nước </t>
  </si>
  <si>
    <t>2.2</t>
  </si>
  <si>
    <t>Bổ sung có mục tiêu bằng nguồn vốn ngoài nước</t>
  </si>
  <si>
    <t>Thu từ ngân sách cấp dưới nộp lên</t>
  </si>
  <si>
    <t>THU CHUYỂN NGUỒN</t>
  </si>
  <si>
    <t>D</t>
  </si>
  <si>
    <t>THU KẾT DƯ NGÂN SÁCH</t>
  </si>
  <si>
    <t xml:space="preserve">                  - Lệ phí môn bài</t>
  </si>
  <si>
    <t xml:space="preserve">  - Phí, lệ phí do cơ quan xã thu</t>
  </si>
  <si>
    <t>CHI NỘP NGÂN SÁCH CẤP TRÊN</t>
  </si>
  <si>
    <t>CHI NỘP TRẢ CẤP TRÊN</t>
  </si>
  <si>
    <t>Chương trình theo QĐ 293</t>
  </si>
  <si>
    <t>Chương trình 135</t>
  </si>
  <si>
    <t>DA nâng cao năng lực, GS, ĐG THCT</t>
  </si>
  <si>
    <t>DA truyền thông và giảm nghèo về TT</t>
  </si>
  <si>
    <t>CTMTQG xây dựng nông thôn mới</t>
  </si>
  <si>
    <t>+ Vốn TW</t>
  </si>
  <si>
    <t>+ Vốn trái phiếu chính phủ</t>
  </si>
  <si>
    <t>Thu từ cấp dưới nộp lên</t>
  </si>
  <si>
    <t>Chi nộp trả cấp trên</t>
  </si>
  <si>
    <t>Chương trình MTQG giảm nghèo</t>
  </si>
  <si>
    <t>Chương trình MTQG  xây dựng Nông thôn mới</t>
  </si>
  <si>
    <t>NỘP TRẢ CẤP TRÊN</t>
  </si>
  <si>
    <t>Chi chuyển nguồn</t>
  </si>
  <si>
    <t>Nộp ngân sách cấp trên</t>
  </si>
  <si>
    <t>Tổ chức PT quỹ đất</t>
  </si>
  <si>
    <t>19=2/1</t>
  </si>
  <si>
    <t>Bổ sung trong năm</t>
  </si>
  <si>
    <t>Giảm trừ trong năm</t>
  </si>
  <si>
    <t>7=1-6</t>
  </si>
  <si>
    <t>Chương trình mục tiêu quốc gia giảm nghèo bền vững</t>
  </si>
  <si>
    <t>Chương trình mục tiêu quốc gia nông thôn mới</t>
  </si>
  <si>
    <t>1</t>
  </si>
  <si>
    <t>Xã Quài Tở</t>
  </si>
  <si>
    <t>2</t>
  </si>
  <si>
    <t>Xã Mường Thín</t>
  </si>
  <si>
    <t>3</t>
  </si>
  <si>
    <t>Xã Chiềng Sinh</t>
  </si>
  <si>
    <t>4</t>
  </si>
  <si>
    <t>Xã Quài Cang</t>
  </si>
  <si>
    <t>5</t>
  </si>
  <si>
    <t>Xã Mùn Chung</t>
  </si>
  <si>
    <t>6</t>
  </si>
  <si>
    <t>Thi trấn Tuần Giáo</t>
  </si>
  <si>
    <t>7</t>
  </si>
  <si>
    <t>Xã Mường Mùn</t>
  </si>
  <si>
    <t>8</t>
  </si>
  <si>
    <t>Xã Phình Sáng</t>
  </si>
  <si>
    <t>9</t>
  </si>
  <si>
    <t>Xã Chiềng Đông</t>
  </si>
  <si>
    <t>10</t>
  </si>
  <si>
    <t>Xã Mường Khong</t>
  </si>
  <si>
    <t>11</t>
  </si>
  <si>
    <t>Xã Rạng Đông</t>
  </si>
  <si>
    <t>12</t>
  </si>
  <si>
    <t>Xã Nà Tòng</t>
  </si>
  <si>
    <t>13</t>
  </si>
  <si>
    <t>Xã Ta Ma</t>
  </si>
  <si>
    <t>14</t>
  </si>
  <si>
    <t>Xã Tỏa Tình</t>
  </si>
  <si>
    <t>15</t>
  </si>
  <si>
    <t>Xã Pú Xi</t>
  </si>
  <si>
    <t>16</t>
  </si>
  <si>
    <t>Xã Tênh Phông</t>
  </si>
  <si>
    <t>17</t>
  </si>
  <si>
    <t>Xã Pú Nhung</t>
  </si>
  <si>
    <t>18</t>
  </si>
  <si>
    <t>Xã Quài Nưa</t>
  </si>
  <si>
    <t>19</t>
  </si>
  <si>
    <t>Xã Nà Sáy</t>
  </si>
  <si>
    <t>TÊN ĐƠN VỊ</t>
  </si>
  <si>
    <t>Số bổ sung có mục tiêu từ ngân sách cấp trên</t>
  </si>
  <si>
    <t>Chi chương trình nhiệm vụ khác</t>
  </si>
  <si>
    <t>28=14/1</t>
  </si>
  <si>
    <t>29=15/2</t>
  </si>
  <si>
    <t>30=18/5</t>
  </si>
  <si>
    <t>31=21/8</t>
  </si>
  <si>
    <t>32=24/11</t>
  </si>
  <si>
    <t>Đơn vi: đồng</t>
  </si>
  <si>
    <t>Thu cấp dưới nộp lên</t>
  </si>
  <si>
    <t>Khắc phục hậu quả hạn hán vụ Đông Xuân (2016-2017)</t>
  </si>
  <si>
    <t>Cộng SNKT</t>
  </si>
  <si>
    <t>1=2+3+4+5</t>
  </si>
  <si>
    <t>21=4/1</t>
  </si>
  <si>
    <t>22=5/2</t>
  </si>
  <si>
    <t>23=6/3</t>
  </si>
  <si>
    <t>Quỹ Bảo trợ trẻ em</t>
  </si>
  <si>
    <t>Quỹ Đền ơn đáp nghĩa</t>
  </si>
  <si>
    <t>Quỹ khuyến học</t>
  </si>
  <si>
    <t>Quỹ phòng chống thiên tai</t>
  </si>
  <si>
    <t>Cộng</t>
  </si>
  <si>
    <t xml:space="preserve"> Sự nghiệp kinh tế (Nhà khách)</t>
  </si>
  <si>
    <t>QUYẾT TOÁN CHI NGÂN SÁCH CẤP HUYỆN CHO TỪNG CƠ QUAN, TỔ CHỨC THEO LĨNH VỰC NĂM 2018</t>
  </si>
  <si>
    <t>Tổng số dự toán năm 2018</t>
  </si>
  <si>
    <t>Tổng số quyết toán năm 2018</t>
  </si>
  <si>
    <t>HTCP học tập + miễn giảm HP theo NĐ 86</t>
  </si>
  <si>
    <t>HTHS khuyết tật theo TT 42</t>
  </si>
  <si>
    <t>Dự toán chi đầu tư PT (Không kể CTMTQG)</t>
  </si>
  <si>
    <t>Đầu tư từ nguồn thu tiền SD đất</t>
  </si>
  <si>
    <t>Dự toán chi thường xuyên (không kể CTMTQG)</t>
  </si>
  <si>
    <t>Dự toán chi CTMTQG</t>
  </si>
  <si>
    <t>Dự toán chi CTMT, nhiệm vụ khác</t>
  </si>
  <si>
    <t>Vốn đầu tư</t>
  </si>
  <si>
    <t>Vốn sự nghiệp</t>
  </si>
  <si>
    <t>DA1: CT 293</t>
  </si>
  <si>
    <t>DA2: CT 135</t>
  </si>
  <si>
    <t>DA3</t>
  </si>
  <si>
    <t>Truyền thông và giảm nghèo về thông tin</t>
  </si>
  <si>
    <t>DA4</t>
  </si>
  <si>
    <t>DA5</t>
  </si>
  <si>
    <t>Hỗ trợ trực tiếp các xã</t>
  </si>
  <si>
    <t>Vốn đầu từ</t>
  </si>
  <si>
    <t>DỰ TOÁN NĂM 2018</t>
  </si>
  <si>
    <t>QUYẾT TOÁN NĂM 2018</t>
  </si>
  <si>
    <t>Quyết toán chi đầu tư PT (Không kể CTMTQG)</t>
  </si>
  <si>
    <t>Quyết toán chi thường xuyên (không kể CTMTQG)</t>
  </si>
  <si>
    <t>Quyết toán chi CTMTQG</t>
  </si>
  <si>
    <t>Quyết toán chi CTMT, nhiệm vụ khác</t>
  </si>
  <si>
    <t>Cộng dự toán chi thường xuyên (không kể CTMTQG)</t>
  </si>
  <si>
    <t>Cộng quyết toán chi đầu tư (không kể CTMTQG)</t>
  </si>
  <si>
    <t>Cộng quyết toán chi thường xuyên (không kể CTMTQG)</t>
  </si>
  <si>
    <t>Cộng dự toán chi đầu tư (không kể CTMTQG)</t>
  </si>
  <si>
    <t>Quốc phòng</t>
  </si>
  <si>
    <t>An ninh</t>
  </si>
  <si>
    <t>CTMT đảm bảo trật tự ATGT, PCCC, phòng chống TP và MT</t>
  </si>
  <si>
    <t>Kinh phí thực hiện đảm bảo trật tự ATGT</t>
  </si>
  <si>
    <t>Tiền điện sáng+ SC duy tu bảo dưỡng đường điện+ quét vôi cắt tỉa cây xanh + Đèn đường vào khối Huổi Củ</t>
  </si>
  <si>
    <t>Chi phí ban chỉ đạo</t>
  </si>
  <si>
    <t>Hỗ trợ các hội</t>
  </si>
  <si>
    <t>Lập KHSD đất</t>
  </si>
  <si>
    <t>Cấp GCNQSD đất cao su</t>
  </si>
  <si>
    <t>Trung tâm GDNN-GDTX</t>
  </si>
  <si>
    <t>Sự nghiệp đào tạo</t>
  </si>
  <si>
    <t>HTHBHSBT theo QĐ 85</t>
  </si>
  <si>
    <t>HT trẻ ăn trưa 3-5 tuổin theo TT 06</t>
  </si>
  <si>
    <t>HT trẻ ăn trưa 3-5 tuổi theo TT06</t>
  </si>
  <si>
    <t>Quản lý hành chính, đảng, đoàn thể</t>
  </si>
  <si>
    <t>Chi thường xuyên của các đơn vị SNKT</t>
  </si>
  <si>
    <t>BHYT CCB, QĐ 62, TNXP</t>
  </si>
  <si>
    <t>BHYT bảo trợ xã hội</t>
  </si>
  <si>
    <t>Chăm sóc bảo vệ sức khỏe CBCS</t>
  </si>
  <si>
    <t>Duy tu, bảo dưỡng CT sau ĐT (Giao thông)</t>
  </si>
  <si>
    <t>BS cho xã</t>
  </si>
  <si>
    <t>Tổng thu huyện</t>
  </si>
  <si>
    <t>Chênh lệch</t>
  </si>
  <si>
    <t>Tăng thu chưa PB</t>
  </si>
  <si>
    <t>Dư DT ở NS chưa PB</t>
  </si>
  <si>
    <t>CN 2017 ở NS chưa PB</t>
  </si>
  <si>
    <t>Tăng thu chưa phân bổ năm 2018</t>
  </si>
  <si>
    <t>Vốn TW</t>
  </si>
  <si>
    <t>Vốn trái phiếu chính phủ</t>
  </si>
  <si>
    <t>Huyện hưởng</t>
  </si>
  <si>
    <t>Thực hiện</t>
  </si>
  <si>
    <t>Hỗ trợ NCC về nhà ở theo QĐ 22</t>
  </si>
  <si>
    <t>Xã nộp lên</t>
  </si>
  <si>
    <t>Vốn Ailen</t>
  </si>
  <si>
    <t>HT phát triển SX các xã ngoài Chương trình 30a và Chương trình 135</t>
  </si>
  <si>
    <t>Đã nộp tỉnh</t>
  </si>
  <si>
    <t>CN 2017 ở NS chua PB CTMTQG giảm nghèo (đầu tư - 293) chưa PB</t>
  </si>
  <si>
    <t>CN 2017 ở NS chưa PB CTMTQG NTM (đầu tư) chưa PB</t>
  </si>
  <si>
    <t>CN 2017 ở NS chưa PB (SD đất )</t>
  </si>
  <si>
    <t>Điều chỉnh các ĐV về NS (Ktế)</t>
  </si>
  <si>
    <t>Điều chỉnh các ĐV về NS (Đtạo)</t>
  </si>
  <si>
    <t>Ko tìm thấy DT chênh lệch ở đâu</t>
  </si>
  <si>
    <t>Tăng thu chưa PB tiền SD đất</t>
  </si>
  <si>
    <t>Còn dư</t>
  </si>
  <si>
    <t>QUYẾT TOÁN NGUỒN THU NGÂN SÁCH NHÀ NƯỚC TRÊN ĐỊA BÀN THEO LĨNH VỰC NĂM 2018</t>
  </si>
  <si>
    <t>QUYẾT TOÁN CÂN ĐỐI NGÂN SÁCH ĐỊA PHƯƠNG NĂM 2018</t>
  </si>
  <si>
    <t>CẤP HUYỆN VÀ NGÂN SÁCH XÃ NĂM 2018</t>
  </si>
  <si>
    <t>QUYẾT TOÁN CHI NGÂN SÁCH ĐỊA PHƯƠNG THEO LĨNH VỰC NĂM 2018</t>
  </si>
  <si>
    <t>QUYẾT TOÁN CHI NGÂN SÁCH CẤP HUYỆN THEO LĨNH VỰC NĂM 2018</t>
  </si>
  <si>
    <t xml:space="preserve"> THEO CƠ CẤU CHI NĂM 2018</t>
  </si>
  <si>
    <t>Trong đó:+Phạt VPHC lĩnh vực ATGT</t>
  </si>
  <si>
    <t>+ Phạt VPHC do ngành thuế thực hiện</t>
  </si>
  <si>
    <t>Trong đó: thu hồi các khoản chi năm trước</t>
  </si>
  <si>
    <t>SL biểu 53</t>
  </si>
  <si>
    <t xml:space="preserve"> +  Duy tu bảo dưỡng cơ sở hạ tầng</t>
  </si>
  <si>
    <t xml:space="preserve"> +  Hỗ trợ đầu tư cơ sở hạ tầng các huyện nghèo</t>
  </si>
  <si>
    <t xml:space="preserve"> + Hỗ trợ đầu tư cơ sở hạ tầng cho các xã ĐBKK, xã biên giới; các thôn, bản ĐBKK </t>
  </si>
  <si>
    <t xml:space="preserve"> + Hỗ trợ phát triển sản xuất, đa dạng hóa sinh kế và nhân rộng mô hình giảm nghèo các xã ĐBKK, xã biên giới; các thôn, bản ĐBKK</t>
  </si>
  <si>
    <t>Ưu tiên phân bổ cho xã phấn đấu đạt chuẩn NTM</t>
  </si>
  <si>
    <t>Chương trình MT tái cơ cấu KTNN và phòng chống giảm nhẹ thiên tai, ổn định đời sống dân cư (CT theo QĐ 1776)</t>
  </si>
  <si>
    <t>CTMT đảm bảo trật tự ATGT, phòng cháy chữa cháy, phòng chống tội phạm và ma túy</t>
  </si>
  <si>
    <t>CTMT phát triển lâm nghiệp bền vững</t>
  </si>
  <si>
    <t>CTMT phát triển hệ thống trợ giúp xã hội (DA phát triển hệ thống bảo vệ trẻ em)</t>
  </si>
  <si>
    <t>CTMT Giáo dục nghề nghiệp - việc làm và an toàn lao động (DA phát triển thị trường lao động và việc làm)</t>
  </si>
  <si>
    <t>Vốn viện trợ của tổ chức Tầm nhìn thế giới</t>
  </si>
  <si>
    <t>An ninh và trật tự an toàn xã hội</t>
  </si>
  <si>
    <t>Sự nghiệp Giáo dục &amp; Đào tạo</t>
  </si>
  <si>
    <t>Sự nghiệp y tế, dân số và gia đình</t>
  </si>
  <si>
    <t>Sự nghiệp văn hóa thông tin</t>
  </si>
  <si>
    <t>Sự nghiệp phát thanh, truyền hình</t>
  </si>
  <si>
    <t>Sự nghiệp thể dục thể thao</t>
  </si>
  <si>
    <t>Sự nghiệp bảo vệ môi trường</t>
  </si>
  <si>
    <t>Sự nghiệp khoa học và công nghệ</t>
  </si>
  <si>
    <t>Chi đảm bảo xã hội</t>
  </si>
  <si>
    <t>Các khoản chi khác theo quy định của pháp luật</t>
  </si>
  <si>
    <t>Hoạt động của các cơ quan QLHC, tổ chức chính trị</t>
  </si>
  <si>
    <t>Chi các chương trình mục tiêu, nhiệm vụ khác</t>
  </si>
  <si>
    <t>CHO  TỪNG CƠ QUAN, TỔ CHỨC THEO LĨNH VỰC NĂM 2018</t>
  </si>
  <si>
    <t xml:space="preserve"> CỦA TỪNG CƠ QUAN, TỔ CHỨC THEO NGUỒN VỐN NĂM 2018</t>
  </si>
  <si>
    <t>Phòng văn hóa-TT</t>
  </si>
  <si>
    <t>Ban quản lý dự án</t>
  </si>
  <si>
    <t>Chương trình MTQG</t>
  </si>
  <si>
    <t>Mục tiêu NV khác</t>
  </si>
  <si>
    <t>Ghi thu, ghi chi vốn viện trợ</t>
  </si>
  <si>
    <t>Khối đoàn thể</t>
  </si>
  <si>
    <t>Phòng Tài chính-KH</t>
  </si>
  <si>
    <t>Phòng Kinh tế và Hạ tầng</t>
  </si>
  <si>
    <t>Phòng Giáo dục</t>
  </si>
  <si>
    <t>TT bồi dưỡng chính trị</t>
  </si>
  <si>
    <t>VP đăng ký QSD đất</t>
  </si>
  <si>
    <t>Đài truyền thanh- TH</t>
  </si>
  <si>
    <t>Công an huyện</t>
  </si>
  <si>
    <t>Ban chỉ huy QS huyện</t>
  </si>
  <si>
    <t>Vốn SN CTMTQG</t>
  </si>
  <si>
    <t>Vốn SN MT, NV khác</t>
  </si>
  <si>
    <t>Đầu tư từ nguồn SD đất</t>
  </si>
  <si>
    <t>Ban CHQS huyện</t>
  </si>
  <si>
    <t>Lấy SL biểu 54</t>
  </si>
  <si>
    <t>Hỗ trợ người có công về nhà ở theo QĐ 22</t>
  </si>
  <si>
    <t>Chính sách trợ giúp pháp lý cho người nghèo, đồng bào dân tộc thiểu số theo Quyết định số 32/2016/QĐ-TTg</t>
  </si>
  <si>
    <t>Hoàn trả thuế</t>
  </si>
  <si>
    <t>Dự toán chưa phân bổ</t>
  </si>
  <si>
    <t>SL biểu 55 + 56</t>
  </si>
  <si>
    <t>QUYẾT TOÁN CHI CHƯƠNG TRÌNH MỤC TIÊU QUỐC GIA NĂM 2018</t>
  </si>
  <si>
    <t>SL B54</t>
  </si>
  <si>
    <t>TỔNG HỢP THU DỊCH VỤ CỦA ĐƠN VỊ SỰ NGHIỆP CÔNG NĂM 2018</t>
  </si>
  <si>
    <t>Kế hoạch năm 2018</t>
  </si>
  <si>
    <t>Thực hiện năm 2018</t>
  </si>
  <si>
    <t>B35-TT342</t>
  </si>
  <si>
    <t>NGOÀI NGÂN SÁCH DO ĐỊA PHƯƠNG QUẢN LÝ NĂM 2018</t>
  </si>
  <si>
    <t>Quỹ vì người nghèo và nạn nhân chất độc màu da cam (Quỹ nhân đạo)</t>
  </si>
  <si>
    <t>Quỹ vì người nghèo</t>
  </si>
  <si>
    <t>Quỹ cứu trợ thiên tai</t>
  </si>
  <si>
    <t>Quỹ hỗ trợ nông dân</t>
  </si>
  <si>
    <t>Trong đó: Hỗ trợ từ NSĐP</t>
  </si>
  <si>
    <t xml:space="preserve">Dư nguồn đến ngày 31/12/2017 </t>
  </si>
  <si>
    <t>Dự toán đầu năm SL B56</t>
  </si>
  <si>
    <t>SL biểu 54</t>
  </si>
  <si>
    <t>Vốn ĐT chưa PB năm 2018 chuyển lên dòng nộp trả</t>
  </si>
  <si>
    <t>CN ở NS 2017</t>
  </si>
  <si>
    <t>Hạ tầng + dân tộc 9k</t>
  </si>
  <si>
    <t>Hạ tầng</t>
  </si>
  <si>
    <t>VP đất + KN (MSTS)</t>
  </si>
  <si>
    <t>VP UB (SC nhà khách) + Hạ tầng (Quy hoạch) + Knong (Mô hình)</t>
  </si>
  <si>
    <t>Ngân sách</t>
  </si>
  <si>
    <t xml:space="preserve"> =&gt; 2017 CN đầu tư (cân đối)</t>
  </si>
  <si>
    <t xml:space="preserve"> Biểu 57 năm 2017</t>
  </si>
  <si>
    <t>Trung tâm bồi dưỡng CT</t>
  </si>
  <si>
    <t>QT tăng thêm số thiếu nguồn 2017</t>
  </si>
  <si>
    <t>QT tăng thêm số thiếu nguồn 2018</t>
  </si>
  <si>
    <t>Trừ đi số QT tăng của BHYT + BTXH</t>
  </si>
  <si>
    <t>QT 2017</t>
  </si>
  <si>
    <t>QT</t>
  </si>
  <si>
    <t>CL</t>
  </si>
  <si>
    <t>DT gồm</t>
  </si>
  <si>
    <t>CN huyện</t>
  </si>
  <si>
    <t>CN xã</t>
  </si>
  <si>
    <t>Năm 2018 mới nộp trả huyện</t>
  </si>
  <si>
    <t>Giao đầu năm</t>
  </si>
  <si>
    <t>QT 2018</t>
  </si>
  <si>
    <t>BHYT Cựu chiến binh (Năm 2017, 2018 giao cho huyện 100trđ; số quyết toán thực còn lại cho vào chi TX của ĐBXH)</t>
  </si>
  <si>
    <t>Nộp trả cấp trên</t>
  </si>
  <si>
    <t>Huyện</t>
  </si>
  <si>
    <t>Xã</t>
  </si>
  <si>
    <t>Trong đó: ĐT</t>
  </si>
  <si>
    <t>Trong đó: TX</t>
  </si>
  <si>
    <t>CTMTQG</t>
  </si>
  <si>
    <t>Hỗ trợ xã đạt chuẩn</t>
  </si>
  <si>
    <t>Đầu tư</t>
  </si>
  <si>
    <t>huyện Lấy số liệu biểu 54+ 55 + 56</t>
  </si>
  <si>
    <t>Biểu 53 hoặc 51</t>
  </si>
  <si>
    <t>QUYẾT TOÁN CHI NGÂN SÁCH ĐỊA PHƯƠNG TỪNG XÃ NĂM 2018</t>
  </si>
  <si>
    <t>Không bao gồm chi nộp trả cấp trên</t>
  </si>
  <si>
    <t xml:space="preserve"> =&gt; nộp trả cấp trên</t>
  </si>
  <si>
    <t>Chi thường xuyên (không kể CTMTQG)</t>
  </si>
  <si>
    <t>Chi CTMT, nhiệm vụ khác</t>
  </si>
  <si>
    <t>Chi đầu tư PT
 (Không kể CTMTQG)</t>
  </si>
  <si>
    <t>Tổng huyện Tabmis B2-01</t>
  </si>
  <si>
    <t xml:space="preserve"> =&gt; Chi từ NS gồm: chi khác (HT các đơn vị ngoài NS) + chi từ NS (Chi tiền điện, ghi thu ghi chi) + nộp trả NS cấp trên + DT chưa phân bổ</t>
  </si>
  <si>
    <t>Tabmis</t>
  </si>
  <si>
    <t>CL do cộng thêm số thiếu năm 2017</t>
  </si>
  <si>
    <t>xã + huyện giao tăng 6 tỷ đấu giá đất</t>
  </si>
  <si>
    <t>nộp trả Hạn hán đông xuân</t>
  </si>
  <si>
    <t>Giao tăng thu 2,8 tỷ đấu giá đất so với tỉnh + vốn SN năm 2018 chưa nộp trả được &lt;=</t>
  </si>
  <si>
    <t>Cộng dự toán chi CTMT, nhiệm vụ khác</t>
  </si>
  <si>
    <t>Cộng dự toán CTMTQG</t>
  </si>
  <si>
    <t>Cộng quyết toán CTMQQG</t>
  </si>
  <si>
    <t>Cộng quyết toán chi CTMT, nhiệm vụ khác</t>
  </si>
  <si>
    <t>SL biểu 61-TT342</t>
  </si>
  <si>
    <t>SL Biểu 61-TT342</t>
  </si>
  <si>
    <t>SL B52-NĐ31</t>
  </si>
  <si>
    <t>SL Biểu 50-NĐ 31</t>
  </si>
  <si>
    <t>11=2/1</t>
  </si>
  <si>
    <t xml:space="preserve"> =&gt; Ghi thu, ghi chi điều chỉnh giảm</t>
  </si>
  <si>
    <t>2017 Tỉnh Qtoán theo nguồn giao cho huyện</t>
  </si>
  <si>
    <t>QĐ CN</t>
  </si>
  <si>
    <t>CL 2 CT CN tạm ứng từ 2017 (VĐT do huyện PB từ trước)</t>
  </si>
  <si>
    <t>QUYẾT TOÁN CHI BỔ SUNG TỪ NGÂN SÁCH CẤP HUYỆN CHO NGÂN SÁCH TỪNG XÃ NĂM 2018</t>
  </si>
  <si>
    <t>QUYẾT TOÁN THU NGÂN SÁCH XÃ NĂM 2018</t>
  </si>
  <si>
    <t>(Kèm theo Nghị quyết số          /2019/NQ-HĐND ngày         /      /2019 của HĐND huyện Tuần Giáo)</t>
  </si>
  <si>
    <t>CHI NS CẤP HUYỆN THEO LĨNH VỰC</t>
  </si>
  <si>
    <t>Biểu mẫu số 54</t>
  </si>
  <si>
    <t>QUYẾT TOÁN CHI THƯỜNG XUYÊN CỦA NGÂN SÁCH CẤP HUYỆN CHO TỪNG CƠ QUAN, TỔ CHỨC THEO LĨNH VỰC NĂM 2018</t>
  </si>
  <si>
    <t>Dư nguồn đến ngày 31/12/2018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</si>
</sst>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"/>
    <numFmt numFmtId="189" formatCode="#,##0;[Red]\-#,##0;&quot;&quot;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#;[Red]\-#,###"/>
    <numFmt numFmtId="195" formatCode="#,###.0;[Red]\-#,###.0"/>
    <numFmt numFmtId="196" formatCode="#,###;\-#,###;&quot;&quot;;_(@_)"/>
    <numFmt numFmtId="197" formatCode="###,###,###"/>
    <numFmt numFmtId="198" formatCode="###,###"/>
    <numFmt numFmtId="199" formatCode="&quot;$&quot;#,##0;\-&quot;$&quot;#,##0"/>
    <numFmt numFmtId="200" formatCode="_(* #,##0_);_(* \(#,##0\);_(* &quot;-&quot;??_);_(@_)"/>
    <numFmt numFmtId="201" formatCode="0.0%"/>
    <numFmt numFmtId="202" formatCode="_(* #,##0.0_);_(* \(#,##0.0\);_(* &quot;-&quot;??_);_(@_)"/>
    <numFmt numFmtId="203" formatCode="_(* #,##0.000_);_(* \(#,##0.000\);_(* &quot;-&quot;??_);_(@_)"/>
    <numFmt numFmtId="204" formatCode="_(* #,##0.0_);_(* \(#,##0.0\);_(* &quot;-&quot;?_);_(@_)"/>
    <numFmt numFmtId="205" formatCode="#,##0\ _₫"/>
  </numFmts>
  <fonts count="67">
    <font>
      <sz val="12"/>
      <name val=".VnTime"/>
      <family val="0"/>
    </font>
    <font>
      <b/>
      <sz val="12"/>
      <name val=".VnTime"/>
      <family val="0"/>
    </font>
    <font>
      <i/>
      <sz val="12"/>
      <name val=".VnTime"/>
      <family val="0"/>
    </font>
    <font>
      <b/>
      <i/>
      <sz val="12"/>
      <name val=".VnTime"/>
      <family val="0"/>
    </font>
    <font>
      <u val="single"/>
      <sz val="9.6"/>
      <color indexed="12"/>
      <name val=".VnTime"/>
      <family val="2"/>
    </font>
    <font>
      <u val="single"/>
      <sz val="9.6"/>
      <color indexed="36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2"/>
      <name val=".VnArial Narrow"/>
      <family val="2"/>
    </font>
    <font>
      <i/>
      <sz val="12"/>
      <name val="Times New Roman"/>
      <family val="1"/>
    </font>
    <font>
      <sz val="13"/>
      <name val=".VnTime"/>
      <family val="2"/>
    </font>
    <font>
      <sz val="14"/>
      <name val=".VnTime"/>
      <family val="2"/>
    </font>
    <font>
      <sz val="9"/>
      <name val="Arial"/>
      <family val="2"/>
    </font>
    <font>
      <b/>
      <i/>
      <sz val="14"/>
      <name val="Times New Roman"/>
      <family val="1"/>
    </font>
    <font>
      <sz val="13"/>
      <name val="VnTime"/>
      <family val="0"/>
    </font>
    <font>
      <sz val="8"/>
      <name val=".VnTime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h"/>
      <family val="0"/>
    </font>
    <font>
      <b/>
      <sz val="10"/>
      <name val="Times New Roman h"/>
      <family val="0"/>
    </font>
    <font>
      <i/>
      <sz val="13"/>
      <name val="Times New Roman"/>
      <family val="1"/>
    </font>
    <font>
      <sz val="8.5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 h"/>
      <family val="0"/>
    </font>
    <font>
      <b/>
      <u val="single"/>
      <sz val="12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"/>
      <family val="1"/>
    </font>
    <font>
      <b/>
      <sz val="7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3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19" fillId="0" borderId="0" applyProtection="0">
      <alignment/>
    </xf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4" borderId="0" applyNumberFormat="0" applyBorder="0" applyAlignment="0" applyProtection="0"/>
    <xf numFmtId="196" fontId="17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7" borderId="1" applyNumberFormat="0" applyAlignment="0" applyProtection="0"/>
    <xf numFmtId="0" fontId="59" fillId="0" borderId="6" applyNumberFormat="0" applyFill="0" applyAlignment="0" applyProtection="0"/>
    <xf numFmtId="0" fontId="60" fillId="22" borderId="0" applyNumberFormat="0" applyBorder="0" applyAlignment="0" applyProtection="0"/>
    <xf numFmtId="0" fontId="32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 applyProtection="0">
      <alignment/>
    </xf>
    <xf numFmtId="0" fontId="15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0" fillId="23" borderId="7" applyNumberFormat="0" applyFont="0" applyAlignment="0" applyProtection="0"/>
    <xf numFmtId="0" fontId="61" fillId="20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77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63" applyFont="1" applyAlignment="1">
      <alignment horizontal="centerContinuous"/>
      <protection/>
    </xf>
    <xf numFmtId="0" fontId="7" fillId="0" borderId="0" xfId="63" applyFont="1" applyAlignment="1">
      <alignment horizontal="centerContinuous"/>
      <protection/>
    </xf>
    <xf numFmtId="0" fontId="8" fillId="0" borderId="0" xfId="63" applyFont="1" applyAlignment="1">
      <alignment horizontal="centerContinuous"/>
      <protection/>
    </xf>
    <xf numFmtId="0" fontId="7" fillId="0" borderId="0" xfId="63" applyFont="1">
      <alignment/>
      <protection/>
    </xf>
    <xf numFmtId="0" fontId="9" fillId="0" borderId="0" xfId="63" applyFont="1" applyAlignment="1">
      <alignment horizontal="centerContinuous"/>
      <protection/>
    </xf>
    <xf numFmtId="0" fontId="10" fillId="0" borderId="0" xfId="63" applyFont="1" applyAlignment="1">
      <alignment horizontal="left"/>
      <protection/>
    </xf>
    <xf numFmtId="0" fontId="11" fillId="0" borderId="0" xfId="63" applyFont="1">
      <alignment/>
      <protection/>
    </xf>
    <xf numFmtId="0" fontId="13" fillId="0" borderId="0" xfId="63" applyFont="1">
      <alignment/>
      <protection/>
    </xf>
    <xf numFmtId="0" fontId="10" fillId="0" borderId="0" xfId="63" applyFont="1" applyBorder="1" applyAlignment="1">
      <alignment horizontal="center"/>
      <protection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63" applyFont="1" applyAlignment="1">
      <alignment vertical="center"/>
      <protection/>
    </xf>
    <xf numFmtId="0" fontId="25" fillId="0" borderId="13" xfId="0" applyFont="1" applyBorder="1" applyAlignment="1">
      <alignment/>
    </xf>
    <xf numFmtId="0" fontId="6" fillId="0" borderId="0" xfId="60" applyFont="1" applyFill="1" applyAlignment="1">
      <alignment horizontal="center" vertical="center"/>
      <protection/>
    </xf>
    <xf numFmtId="0" fontId="7" fillId="0" borderId="0" xfId="60" applyFont="1" applyFill="1" applyAlignment="1">
      <alignment horizontal="center" vertical="center"/>
      <protection/>
    </xf>
    <xf numFmtId="3" fontId="7" fillId="0" borderId="0" xfId="60" applyNumberFormat="1" applyFont="1" applyFill="1" applyAlignment="1">
      <alignment vertical="center"/>
      <protection/>
    </xf>
    <xf numFmtId="0" fontId="7" fillId="0" borderId="0" xfId="60" applyFont="1" applyFill="1" applyAlignment="1">
      <alignment vertical="center"/>
      <protection/>
    </xf>
    <xf numFmtId="49" fontId="7" fillId="0" borderId="0" xfId="60" applyNumberFormat="1" applyFont="1" applyFill="1" applyAlignment="1">
      <alignment vertical="center" wrapText="1"/>
      <protection/>
    </xf>
    <xf numFmtId="3" fontId="30" fillId="0" borderId="12" xfId="60" applyNumberFormat="1" applyFont="1" applyFill="1" applyBorder="1" applyAlignment="1">
      <alignment horizontal="center" vertical="center" wrapText="1"/>
      <protection/>
    </xf>
    <xf numFmtId="3" fontId="31" fillId="0" borderId="0" xfId="60" applyNumberFormat="1" applyFont="1" applyFill="1" applyAlignment="1">
      <alignment vertical="center"/>
      <protection/>
    </xf>
    <xf numFmtId="0" fontId="31" fillId="0" borderId="0" xfId="60" applyFont="1" applyFill="1" applyAlignment="1">
      <alignment vertical="center"/>
      <protection/>
    </xf>
    <xf numFmtId="3" fontId="30" fillId="0" borderId="0" xfId="60" applyNumberFormat="1" applyFont="1" applyFill="1" applyAlignment="1">
      <alignment vertical="center"/>
      <protection/>
    </xf>
    <xf numFmtId="0" fontId="30" fillId="0" borderId="0" xfId="60" applyFont="1" applyFill="1" applyAlignment="1">
      <alignment vertical="center"/>
      <protection/>
    </xf>
    <xf numFmtId="3" fontId="30" fillId="0" borderId="14" xfId="60" applyNumberFormat="1" applyFont="1" applyFill="1" applyBorder="1" applyAlignment="1">
      <alignment vertical="center"/>
      <protection/>
    </xf>
    <xf numFmtId="3" fontId="30" fillId="0" borderId="15" xfId="60" applyNumberFormat="1" applyFont="1" applyFill="1" applyBorder="1" applyAlignment="1">
      <alignment vertical="center"/>
      <protection/>
    </xf>
    <xf numFmtId="0" fontId="33" fillId="0" borderId="0" xfId="67" applyFont="1">
      <alignment/>
      <protection/>
    </xf>
    <xf numFmtId="0" fontId="24" fillId="0" borderId="0" xfId="67" applyFont="1" applyAlignment="1">
      <alignment vertical="center"/>
      <protection/>
    </xf>
    <xf numFmtId="0" fontId="33" fillId="0" borderId="0" xfId="67" applyFont="1" applyAlignment="1">
      <alignment vertical="center" wrapText="1"/>
      <protection/>
    </xf>
    <xf numFmtId="0" fontId="10" fillId="0" borderId="0" xfId="63" applyFont="1" applyBorder="1" applyAlignment="1">
      <alignment/>
      <protection/>
    </xf>
    <xf numFmtId="0" fontId="6" fillId="0" borderId="0" xfId="66" applyFont="1" applyFill="1" applyAlignment="1">
      <alignment vertical="center"/>
      <protection/>
    </xf>
    <xf numFmtId="0" fontId="29" fillId="0" borderId="0" xfId="66" applyFont="1" applyFill="1" applyAlignment="1">
      <alignment vertical="center"/>
      <protection/>
    </xf>
    <xf numFmtId="0" fontId="7" fillId="0" borderId="0" xfId="66" applyFont="1" applyFill="1" applyAlignment="1">
      <alignment vertical="center"/>
      <protection/>
    </xf>
    <xf numFmtId="0" fontId="30" fillId="0" borderId="0" xfId="66" applyNumberFormat="1" applyFont="1" applyFill="1" applyAlignment="1">
      <alignment vertical="center"/>
      <protection/>
    </xf>
    <xf numFmtId="0" fontId="8" fillId="0" borderId="0" xfId="66" applyNumberFormat="1" applyFont="1" applyFill="1" applyAlignment="1">
      <alignment horizontal="right" vertical="center"/>
      <protection/>
    </xf>
    <xf numFmtId="0" fontId="29" fillId="0" borderId="0" xfId="66" applyNumberFormat="1" applyFont="1" applyFill="1" applyAlignment="1">
      <alignment vertical="center"/>
      <protection/>
    </xf>
    <xf numFmtId="0" fontId="7" fillId="0" borderId="0" xfId="66" applyFont="1" applyFill="1">
      <alignment/>
      <protection/>
    </xf>
    <xf numFmtId="197" fontId="35" fillId="0" borderId="16" xfId="66" applyNumberFormat="1" applyFont="1" applyFill="1" applyBorder="1" applyAlignment="1">
      <alignment horizontal="right" vertical="center"/>
      <protection/>
    </xf>
    <xf numFmtId="197" fontId="10" fillId="0" borderId="16" xfId="66" applyNumberFormat="1" applyFont="1" applyFill="1" applyBorder="1" applyAlignment="1">
      <alignment horizontal="right" vertical="center"/>
      <protection/>
    </xf>
    <xf numFmtId="197" fontId="8" fillId="0" borderId="17" xfId="66" applyNumberFormat="1" applyFont="1" applyFill="1" applyBorder="1" applyAlignment="1" applyProtection="1">
      <alignment horizontal="center" vertical="center" wrapText="1"/>
      <protection/>
    </xf>
    <xf numFmtId="197" fontId="8" fillId="0" borderId="18" xfId="66" applyNumberFormat="1" applyFont="1" applyFill="1" applyBorder="1" applyAlignment="1" applyProtection="1">
      <alignment horizontal="center" vertical="center" wrapText="1"/>
      <protection/>
    </xf>
    <xf numFmtId="0" fontId="8" fillId="0" borderId="19" xfId="66" applyFont="1" applyFill="1" applyBorder="1" applyAlignment="1">
      <alignment horizontal="center" vertical="center" wrapText="1"/>
      <protection/>
    </xf>
    <xf numFmtId="197" fontId="8" fillId="0" borderId="19" xfId="66" applyNumberFormat="1" applyFont="1" applyFill="1" applyBorder="1" applyAlignment="1" applyProtection="1">
      <alignment horizontal="center" vertical="center" wrapText="1"/>
      <protection/>
    </xf>
    <xf numFmtId="0" fontId="8" fillId="0" borderId="20" xfId="66" applyFont="1" applyFill="1" applyBorder="1" applyAlignment="1">
      <alignment horizontal="center" vertical="center" wrapText="1"/>
      <protection/>
    </xf>
    <xf numFmtId="0" fontId="8" fillId="0" borderId="0" xfId="66" applyFont="1" applyFill="1">
      <alignment/>
      <protection/>
    </xf>
    <xf numFmtId="197" fontId="30" fillId="0" borderId="21" xfId="66" applyNumberFormat="1" applyFont="1" applyFill="1" applyBorder="1" applyAlignment="1" applyProtection="1">
      <alignment horizontal="center" vertical="center" wrapText="1"/>
      <protection/>
    </xf>
    <xf numFmtId="197" fontId="30" fillId="0" borderId="15" xfId="66" applyNumberFormat="1" applyFont="1" applyFill="1" applyBorder="1" applyAlignment="1" applyProtection="1">
      <alignment vertical="center" wrapText="1"/>
      <protection/>
    </xf>
    <xf numFmtId="0" fontId="30" fillId="0" borderId="22" xfId="66" applyFont="1" applyFill="1" applyBorder="1" applyAlignment="1">
      <alignment vertical="center" wrapText="1"/>
      <protection/>
    </xf>
    <xf numFmtId="197" fontId="30" fillId="0" borderId="23" xfId="66" applyNumberFormat="1" applyFont="1" applyFill="1" applyBorder="1" applyAlignment="1" applyProtection="1">
      <alignment horizontal="center" vertical="center" wrapText="1"/>
      <protection/>
    </xf>
    <xf numFmtId="197" fontId="30" fillId="0" borderId="10" xfId="66" applyNumberFormat="1" applyFont="1" applyFill="1" applyBorder="1" applyAlignment="1" applyProtection="1">
      <alignment vertical="center" wrapText="1"/>
      <protection/>
    </xf>
    <xf numFmtId="0" fontId="30" fillId="0" borderId="24" xfId="66" applyFont="1" applyFill="1" applyBorder="1" applyAlignment="1">
      <alignment vertical="center" wrapText="1"/>
      <protection/>
    </xf>
    <xf numFmtId="197" fontId="31" fillId="0" borderId="0" xfId="66" applyNumberFormat="1" applyFont="1" applyFill="1" applyAlignment="1">
      <alignment horizontal="center" vertical="center" wrapText="1"/>
      <protection/>
    </xf>
    <xf numFmtId="197" fontId="31" fillId="0" borderId="0" xfId="66" applyNumberFormat="1" applyFont="1" applyFill="1" applyAlignment="1">
      <alignment vertical="center" wrapText="1"/>
      <protection/>
    </xf>
    <xf numFmtId="197" fontId="14" fillId="0" borderId="25" xfId="66" applyNumberFormat="1" applyFont="1" applyFill="1" applyBorder="1" applyAlignment="1" applyProtection="1">
      <alignment horizontal="center" vertical="center" wrapText="1"/>
      <protection/>
    </xf>
    <xf numFmtId="197" fontId="14" fillId="0" borderId="12" xfId="66" applyNumberFormat="1" applyFont="1" applyFill="1" applyBorder="1" applyAlignment="1" applyProtection="1">
      <alignment horizontal="center" vertical="center" wrapText="1"/>
      <protection/>
    </xf>
    <xf numFmtId="197" fontId="14" fillId="0" borderId="26" xfId="66" applyNumberFormat="1" applyFont="1" applyFill="1" applyBorder="1" applyAlignment="1">
      <alignment horizontal="center" vertical="center" wrapText="1"/>
      <protection/>
    </xf>
    <xf numFmtId="197" fontId="14" fillId="0" borderId="0" xfId="66" applyNumberFormat="1" applyFont="1" applyFill="1" applyAlignment="1">
      <alignment horizontal="center" vertical="center" wrapText="1"/>
      <protection/>
    </xf>
    <xf numFmtId="197" fontId="14" fillId="0" borderId="0" xfId="66" applyNumberFormat="1" applyFont="1" applyFill="1" applyAlignment="1">
      <alignment vertical="center" wrapText="1"/>
      <protection/>
    </xf>
    <xf numFmtId="0" fontId="7" fillId="0" borderId="0" xfId="66" applyFont="1" applyFill="1" applyAlignment="1">
      <alignment vertical="center" wrapText="1"/>
      <protection/>
    </xf>
    <xf numFmtId="197" fontId="7" fillId="0" borderId="0" xfId="66" applyNumberFormat="1" applyFont="1" applyFill="1">
      <alignment/>
      <protection/>
    </xf>
    <xf numFmtId="197" fontId="6" fillId="0" borderId="27" xfId="66" applyNumberFormat="1" applyFont="1" applyFill="1" applyBorder="1" applyAlignment="1" applyProtection="1">
      <alignment horizontal="center" vertical="center"/>
      <protection/>
    </xf>
    <xf numFmtId="197" fontId="8" fillId="0" borderId="28" xfId="66" applyNumberFormat="1" applyFont="1" applyFill="1" applyBorder="1" applyAlignment="1">
      <alignment horizontal="left" vertical="center"/>
      <protection/>
    </xf>
    <xf numFmtId="197" fontId="31" fillId="0" borderId="28" xfId="66" applyNumberFormat="1" applyFont="1" applyFill="1" applyBorder="1" applyAlignment="1">
      <alignment horizontal="center" vertical="center"/>
      <protection/>
    </xf>
    <xf numFmtId="0" fontId="7" fillId="0" borderId="29" xfId="66" applyFont="1" applyFill="1" applyBorder="1" applyAlignment="1">
      <alignment vertical="center"/>
      <protection/>
    </xf>
    <xf numFmtId="197" fontId="16" fillId="0" borderId="30" xfId="66" applyNumberFormat="1" applyFont="1" applyFill="1" applyBorder="1" applyAlignment="1">
      <alignment horizontal="center" vertical="center"/>
      <protection/>
    </xf>
    <xf numFmtId="197" fontId="10" fillId="0" borderId="13" xfId="66" applyNumberFormat="1" applyFont="1" applyFill="1" applyBorder="1" applyAlignment="1" applyProtection="1">
      <alignment horizontal="left" vertical="center"/>
      <protection/>
    </xf>
    <xf numFmtId="0" fontId="35" fillId="0" borderId="13" xfId="66" applyFont="1" applyFill="1" applyBorder="1">
      <alignment/>
      <protection/>
    </xf>
    <xf numFmtId="0" fontId="35" fillId="0" borderId="31" xfId="66" applyFont="1" applyFill="1" applyBorder="1">
      <alignment/>
      <protection/>
    </xf>
    <xf numFmtId="197" fontId="10" fillId="0" borderId="13" xfId="66" applyNumberFormat="1" applyFont="1" applyFill="1" applyBorder="1" applyAlignment="1" applyProtection="1" quotePrefix="1">
      <alignment horizontal="left" vertical="center"/>
      <protection/>
    </xf>
    <xf numFmtId="197" fontId="6" fillId="0" borderId="30" xfId="66" applyNumberFormat="1" applyFont="1" applyFill="1" applyBorder="1" applyAlignment="1">
      <alignment horizontal="center" vertical="center"/>
      <protection/>
    </xf>
    <xf numFmtId="197" fontId="8" fillId="0" borderId="13" xfId="66" applyNumberFormat="1" applyFont="1" applyFill="1" applyBorder="1" applyAlignment="1" applyProtection="1">
      <alignment horizontal="left" vertical="center"/>
      <protection/>
    </xf>
    <xf numFmtId="0" fontId="26" fillId="0" borderId="13" xfId="66" applyFont="1" applyFill="1" applyBorder="1">
      <alignment/>
      <protection/>
    </xf>
    <xf numFmtId="0" fontId="26" fillId="0" borderId="31" xfId="66" applyFont="1" applyFill="1" applyBorder="1">
      <alignment/>
      <protection/>
    </xf>
    <xf numFmtId="0" fontId="29" fillId="0" borderId="13" xfId="66" applyFont="1" applyFill="1" applyBorder="1">
      <alignment/>
      <protection/>
    </xf>
    <xf numFmtId="0" fontId="29" fillId="0" borderId="31" xfId="66" applyFont="1" applyFill="1" applyBorder="1">
      <alignment/>
      <protection/>
    </xf>
    <xf numFmtId="197" fontId="7" fillId="0" borderId="32" xfId="66" applyNumberFormat="1" applyFont="1" applyFill="1" applyBorder="1" applyAlignment="1" applyProtection="1">
      <alignment horizontal="justify" vertical="center"/>
      <protection/>
    </xf>
    <xf numFmtId="197" fontId="11" fillId="0" borderId="33" xfId="66" applyNumberFormat="1" applyFont="1" applyFill="1" applyBorder="1" applyAlignment="1" applyProtection="1">
      <alignment horizontal="justify" vertical="center"/>
      <protection/>
    </xf>
    <xf numFmtId="0" fontId="7" fillId="0" borderId="33" xfId="66" applyFont="1" applyFill="1" applyBorder="1">
      <alignment/>
      <protection/>
    </xf>
    <xf numFmtId="0" fontId="7" fillId="0" borderId="34" xfId="66" applyFont="1" applyFill="1" applyBorder="1">
      <alignment/>
      <protection/>
    </xf>
    <xf numFmtId="0" fontId="29" fillId="0" borderId="0" xfId="0" applyFont="1" applyAlignment="1">
      <alignment/>
    </xf>
    <xf numFmtId="3" fontId="29" fillId="0" borderId="13" xfId="0" applyNumberFormat="1" applyFont="1" applyBorder="1" applyAlignment="1">
      <alignment/>
    </xf>
    <xf numFmtId="0" fontId="6" fillId="0" borderId="0" xfId="63" applyFont="1" applyAlignment="1">
      <alignment horizontal="right"/>
      <protection/>
    </xf>
    <xf numFmtId="0" fontId="11" fillId="0" borderId="0" xfId="65" applyNumberFormat="1" applyFont="1" applyFill="1" applyBorder="1" applyAlignment="1">
      <alignment vertical="center" wrapText="1"/>
    </xf>
    <xf numFmtId="197" fontId="25" fillId="0" borderId="12" xfId="66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Font="1" applyBorder="1" applyAlignment="1">
      <alignment/>
    </xf>
    <xf numFmtId="0" fontId="26" fillId="0" borderId="28" xfId="0" applyFont="1" applyBorder="1" applyAlignment="1">
      <alignment horizontal="center"/>
    </xf>
    <xf numFmtId="0" fontId="26" fillId="0" borderId="28" xfId="0" applyFont="1" applyBorder="1" applyAlignment="1">
      <alignment/>
    </xf>
    <xf numFmtId="3" fontId="26" fillId="0" borderId="28" xfId="0" applyNumberFormat="1" applyFont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/>
    </xf>
    <xf numFmtId="200" fontId="29" fillId="0" borderId="13" xfId="42" applyNumberFormat="1" applyFont="1" applyBorder="1" applyAlignment="1">
      <alignment/>
    </xf>
    <xf numFmtId="3" fontId="26" fillId="0" borderId="13" xfId="0" applyNumberFormat="1" applyFont="1" applyBorder="1" applyAlignment="1">
      <alignment/>
    </xf>
    <xf numFmtId="3" fontId="38" fillId="0" borderId="13" xfId="0" applyNumberFormat="1" applyFont="1" applyBorder="1" applyAlignment="1">
      <alignment/>
    </xf>
    <xf numFmtId="198" fontId="29" fillId="0" borderId="13" xfId="68" applyNumberFormat="1" applyFont="1" applyFill="1" applyBorder="1" applyAlignment="1">
      <alignment vertical="center" wrapText="1"/>
      <protection/>
    </xf>
    <xf numFmtId="0" fontId="29" fillId="0" borderId="14" xfId="0" applyFont="1" applyBorder="1" applyAlignment="1">
      <alignment/>
    </xf>
    <xf numFmtId="0" fontId="28" fillId="0" borderId="12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39" fillId="0" borderId="28" xfId="0" applyFont="1" applyBorder="1" applyAlignment="1">
      <alignment/>
    </xf>
    <xf numFmtId="3" fontId="25" fillId="0" borderId="28" xfId="0" applyNumberFormat="1" applyFont="1" applyBorder="1" applyAlignment="1">
      <alignment/>
    </xf>
    <xf numFmtId="0" fontId="14" fillId="0" borderId="13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 quotePrefix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0" fontId="14" fillId="0" borderId="13" xfId="0" applyFont="1" applyBorder="1" applyAlignment="1">
      <alignment/>
    </xf>
    <xf numFmtId="0" fontId="25" fillId="0" borderId="12" xfId="0" applyFont="1" applyBorder="1" applyAlignment="1" quotePrefix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/>
    </xf>
    <xf numFmtId="3" fontId="11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 quotePrefix="1">
      <alignment horizontal="center" vertical="center"/>
    </xf>
    <xf numFmtId="0" fontId="29" fillId="0" borderId="0" xfId="0" applyFont="1" applyAlignment="1">
      <alignment vertical="center"/>
    </xf>
    <xf numFmtId="0" fontId="26" fillId="0" borderId="0" xfId="0" applyFont="1" applyAlignment="1">
      <alignment/>
    </xf>
    <xf numFmtId="0" fontId="29" fillId="0" borderId="13" xfId="0" applyFont="1" applyBorder="1" applyAlignment="1">
      <alignment horizontal="center"/>
    </xf>
    <xf numFmtId="3" fontId="26" fillId="0" borderId="13" xfId="0" applyNumberFormat="1" applyFont="1" applyFill="1" applyBorder="1" applyAlignment="1">
      <alignment/>
    </xf>
    <xf numFmtId="3" fontId="29" fillId="0" borderId="13" xfId="0" applyNumberFormat="1" applyFont="1" applyFill="1" applyBorder="1" applyAlignment="1">
      <alignment/>
    </xf>
    <xf numFmtId="0" fontId="29" fillId="0" borderId="14" xfId="0" applyFont="1" applyBorder="1" applyAlignment="1">
      <alignment horizontal="center"/>
    </xf>
    <xf numFmtId="3" fontId="29" fillId="0" borderId="14" xfId="0" applyNumberFormat="1" applyFont="1" applyBorder="1" applyAlignment="1">
      <alignment/>
    </xf>
    <xf numFmtId="3" fontId="27" fillId="0" borderId="13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3" fontId="26" fillId="0" borderId="35" xfId="0" applyNumberFormat="1" applyFont="1" applyFill="1" applyBorder="1" applyAlignment="1">
      <alignment/>
    </xf>
    <xf numFmtId="3" fontId="29" fillId="0" borderId="1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6" fillId="0" borderId="28" xfId="63" applyFont="1" applyBorder="1" applyAlignment="1">
      <alignment horizontal="center"/>
      <protection/>
    </xf>
    <xf numFmtId="0" fontId="26" fillId="0" borderId="28" xfId="63" applyFont="1" applyBorder="1">
      <alignment/>
      <protection/>
    </xf>
    <xf numFmtId="3" fontId="26" fillId="0" borderId="28" xfId="63" applyNumberFormat="1" applyFont="1" applyBorder="1">
      <alignment/>
      <protection/>
    </xf>
    <xf numFmtId="3" fontId="26" fillId="0" borderId="13" xfId="63" applyNumberFormat="1" applyFont="1" applyBorder="1">
      <alignment/>
      <protection/>
    </xf>
    <xf numFmtId="0" fontId="26" fillId="0" borderId="0" xfId="63" applyFont="1">
      <alignment/>
      <protection/>
    </xf>
    <xf numFmtId="3" fontId="29" fillId="0" borderId="13" xfId="63" applyNumberFormat="1" applyFont="1" applyBorder="1">
      <alignment/>
      <protection/>
    </xf>
    <xf numFmtId="0" fontId="29" fillId="0" borderId="0" xfId="63" applyFont="1">
      <alignment/>
      <protection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8" fillId="0" borderId="0" xfId="0" applyFont="1" applyFill="1" applyAlignment="1">
      <alignment vertical="center"/>
    </xf>
    <xf numFmtId="200" fontId="11" fillId="0" borderId="0" xfId="42" applyNumberFormat="1" applyFont="1" applyFill="1" applyAlignment="1">
      <alignment/>
    </xf>
    <xf numFmtId="200" fontId="7" fillId="0" borderId="0" xfId="42" applyNumberFormat="1" applyFont="1" applyFill="1" applyAlignment="1">
      <alignment/>
    </xf>
    <xf numFmtId="0" fontId="10" fillId="0" borderId="0" xfId="0" applyFont="1" applyFill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9" fontId="29" fillId="0" borderId="35" xfId="71" applyFont="1" applyFill="1" applyBorder="1" applyAlignment="1">
      <alignment/>
    </xf>
    <xf numFmtId="0" fontId="16" fillId="0" borderId="0" xfId="0" applyFont="1" applyFill="1" applyAlignment="1">
      <alignment/>
    </xf>
    <xf numFmtId="41" fontId="29" fillId="0" borderId="13" xfId="43" applyFont="1" applyFill="1" applyBorder="1" applyAlignment="1" quotePrefix="1">
      <alignment horizontal="center" vertical="center" wrapText="1"/>
    </xf>
    <xf numFmtId="3" fontId="29" fillId="0" borderId="13" xfId="0" applyNumberFormat="1" applyFont="1" applyFill="1" applyBorder="1" applyAlignment="1">
      <alignment horizontal="left" vertical="center" wrapText="1"/>
    </xf>
    <xf numFmtId="41" fontId="29" fillId="0" borderId="14" xfId="43" applyFont="1" applyFill="1" applyBorder="1" applyAlignment="1" quotePrefix="1">
      <alignment horizontal="center" vertical="center" wrapText="1"/>
    </xf>
    <xf numFmtId="3" fontId="29" fillId="0" borderId="14" xfId="0" applyNumberFormat="1" applyFont="1" applyFill="1" applyBorder="1" applyAlignment="1">
      <alignment horizontal="left" vertical="center" wrapText="1"/>
    </xf>
    <xf numFmtId="200" fontId="29" fillId="0" borderId="13" xfId="42" applyNumberFormat="1" applyFont="1" applyFill="1" applyBorder="1" applyAlignment="1" quotePrefix="1">
      <alignment horizontal="center" vertical="center" wrapText="1"/>
    </xf>
    <xf numFmtId="200" fontId="29" fillId="0" borderId="13" xfId="42" applyNumberFormat="1" applyFont="1" applyFill="1" applyBorder="1" applyAlignment="1">
      <alignment horizontal="left" vertical="center" wrapText="1"/>
    </xf>
    <xf numFmtId="200" fontId="29" fillId="0" borderId="13" xfId="42" applyNumberFormat="1" applyFont="1" applyFill="1" applyBorder="1" applyAlignment="1">
      <alignment/>
    </xf>
    <xf numFmtId="9" fontId="29" fillId="0" borderId="13" xfId="71" applyFont="1" applyFill="1" applyBorder="1" applyAlignment="1">
      <alignment/>
    </xf>
    <xf numFmtId="200" fontId="29" fillId="0" borderId="14" xfId="42" applyNumberFormat="1" applyFont="1" applyFill="1" applyBorder="1" applyAlignment="1" quotePrefix="1">
      <alignment horizontal="center" vertical="center" wrapText="1"/>
    </xf>
    <xf numFmtId="200" fontId="29" fillId="0" borderId="14" xfId="42" applyNumberFormat="1" applyFont="1" applyFill="1" applyBorder="1" applyAlignment="1">
      <alignment horizontal="left" vertical="center" wrapText="1"/>
    </xf>
    <xf numFmtId="200" fontId="29" fillId="0" borderId="14" xfId="42" applyNumberFormat="1" applyFont="1" applyFill="1" applyBorder="1" applyAlignment="1">
      <alignment/>
    </xf>
    <xf numFmtId="9" fontId="29" fillId="0" borderId="14" xfId="71" applyFont="1" applyFill="1" applyBorder="1" applyAlignment="1">
      <alignment/>
    </xf>
    <xf numFmtId="0" fontId="30" fillId="0" borderId="12" xfId="63" applyFont="1" applyBorder="1" applyAlignment="1">
      <alignment horizontal="center" vertical="center"/>
      <protection/>
    </xf>
    <xf numFmtId="0" fontId="27" fillId="0" borderId="12" xfId="63" applyFont="1" applyBorder="1" applyAlignment="1">
      <alignment horizontal="center" vertical="center" wrapText="1"/>
      <protection/>
    </xf>
    <xf numFmtId="0" fontId="10" fillId="0" borderId="36" xfId="63" applyFont="1" applyBorder="1" applyAlignment="1">
      <alignment/>
      <protection/>
    </xf>
    <xf numFmtId="3" fontId="11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25" fillId="0" borderId="0" xfId="0" applyFont="1" applyFill="1" applyAlignment="1">
      <alignment vertical="center"/>
    </xf>
    <xf numFmtId="0" fontId="6" fillId="0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13" xfId="0" applyFont="1" applyFill="1" applyBorder="1" applyAlignment="1" quotePrefix="1">
      <alignment horizontal="center"/>
    </xf>
    <xf numFmtId="0" fontId="29" fillId="0" borderId="13" xfId="0" applyFont="1" applyFill="1" applyBorder="1" applyAlignment="1">
      <alignment/>
    </xf>
    <xf numFmtId="0" fontId="29" fillId="0" borderId="13" xfId="0" applyFont="1" applyFill="1" applyBorder="1" applyAlignment="1">
      <alignment wrapText="1"/>
    </xf>
    <xf numFmtId="0" fontId="6" fillId="0" borderId="0" xfId="63" applyFont="1" applyFill="1" applyAlignment="1">
      <alignment horizontal="centerContinuous"/>
      <protection/>
    </xf>
    <xf numFmtId="0" fontId="7" fillId="0" borderId="0" xfId="63" applyFont="1" applyFill="1" applyAlignment="1">
      <alignment horizontal="centerContinuous"/>
      <protection/>
    </xf>
    <xf numFmtId="0" fontId="8" fillId="0" borderId="0" xfId="63" applyFont="1" applyFill="1" applyAlignment="1">
      <alignment horizontal="centerContinuous"/>
      <protection/>
    </xf>
    <xf numFmtId="0" fontId="6" fillId="0" borderId="0" xfId="63" applyFont="1" applyFill="1" applyAlignment="1">
      <alignment horizontal="right"/>
      <protection/>
    </xf>
    <xf numFmtId="0" fontId="7" fillId="0" borderId="0" xfId="63" applyFont="1" applyFill="1">
      <alignment/>
      <protection/>
    </xf>
    <xf numFmtId="0" fontId="9" fillId="0" borderId="0" xfId="63" applyFont="1" applyFill="1" applyAlignment="1">
      <alignment horizontal="centerContinuous"/>
      <protection/>
    </xf>
    <xf numFmtId="0" fontId="10" fillId="0" borderId="0" xfId="63" applyFont="1" applyFill="1" applyAlignment="1">
      <alignment horizontal="left"/>
      <protection/>
    </xf>
    <xf numFmtId="0" fontId="11" fillId="0" borderId="0" xfId="63" applyFont="1" applyFill="1">
      <alignment/>
      <protection/>
    </xf>
    <xf numFmtId="0" fontId="13" fillId="0" borderId="0" xfId="63" applyFont="1" applyFill="1">
      <alignment/>
      <protection/>
    </xf>
    <xf numFmtId="0" fontId="25" fillId="0" borderId="12" xfId="63" applyFont="1" applyFill="1" applyBorder="1" applyAlignment="1">
      <alignment horizontal="center" vertical="center"/>
      <protection/>
    </xf>
    <xf numFmtId="0" fontId="25" fillId="0" borderId="12" xfId="63" applyFont="1" applyFill="1" applyBorder="1" applyAlignment="1" quotePrefix="1">
      <alignment horizontal="center" vertical="center"/>
      <protection/>
    </xf>
    <xf numFmtId="0" fontId="25" fillId="0" borderId="0" xfId="63" applyFont="1" applyFill="1" applyAlignment="1">
      <alignment vertical="center"/>
      <protection/>
    </xf>
    <xf numFmtId="3" fontId="6" fillId="0" borderId="35" xfId="63" applyNumberFormat="1" applyFont="1" applyFill="1" applyBorder="1">
      <alignment/>
      <protection/>
    </xf>
    <xf numFmtId="3" fontId="6" fillId="0" borderId="13" xfId="63" applyNumberFormat="1" applyFont="1" applyFill="1" applyBorder="1">
      <alignment/>
      <protection/>
    </xf>
    <xf numFmtId="3" fontId="16" fillId="0" borderId="13" xfId="63" applyNumberFormat="1" applyFont="1" applyFill="1" applyBorder="1">
      <alignment/>
      <protection/>
    </xf>
    <xf numFmtId="0" fontId="10" fillId="0" borderId="0" xfId="63" applyFont="1" applyFill="1">
      <alignment/>
      <protection/>
    </xf>
    <xf numFmtId="3" fontId="7" fillId="0" borderId="13" xfId="63" applyNumberFormat="1" applyFont="1" applyFill="1" applyBorder="1">
      <alignment/>
      <protection/>
    </xf>
    <xf numFmtId="0" fontId="8" fillId="0" borderId="0" xfId="63" applyFont="1" applyFill="1">
      <alignment/>
      <protection/>
    </xf>
    <xf numFmtId="0" fontId="27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Continuous"/>
    </xf>
    <xf numFmtId="0" fontId="26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/>
    </xf>
    <xf numFmtId="0" fontId="29" fillId="0" borderId="13" xfId="0" applyFont="1" applyFill="1" applyBorder="1" applyAlignment="1">
      <alignment horizontal="center"/>
    </xf>
    <xf numFmtId="3" fontId="35" fillId="0" borderId="13" xfId="0" applyNumberFormat="1" applyFont="1" applyFill="1" applyBorder="1" applyAlignment="1">
      <alignment/>
    </xf>
    <xf numFmtId="0" fontId="29" fillId="0" borderId="13" xfId="0" applyFont="1" applyFill="1" applyBorder="1" applyAlignment="1" quotePrefix="1">
      <alignment horizontal="center"/>
    </xf>
    <xf numFmtId="0" fontId="29" fillId="0" borderId="13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/>
    </xf>
    <xf numFmtId="0" fontId="26" fillId="0" borderId="14" xfId="0" applyFont="1" applyFill="1" applyBorder="1" applyAlignment="1">
      <alignment/>
    </xf>
    <xf numFmtId="9" fontId="26" fillId="0" borderId="13" xfId="71" applyFont="1" applyFill="1" applyBorder="1" applyAlignment="1">
      <alignment/>
    </xf>
    <xf numFmtId="9" fontId="7" fillId="0" borderId="13" xfId="71" applyFont="1" applyFill="1" applyBorder="1" applyAlignment="1">
      <alignment/>
    </xf>
    <xf numFmtId="9" fontId="7" fillId="0" borderId="14" xfId="71" applyFont="1" applyFill="1" applyBorder="1" applyAlignment="1">
      <alignment/>
    </xf>
    <xf numFmtId="9" fontId="6" fillId="0" borderId="13" xfId="71" applyFont="1" applyFill="1" applyBorder="1" applyAlignment="1">
      <alignment/>
    </xf>
    <xf numFmtId="0" fontId="25" fillId="0" borderId="37" xfId="0" applyFont="1" applyBorder="1" applyAlignment="1">
      <alignment horizontal="center" vertical="center"/>
    </xf>
    <xf numFmtId="200" fontId="26" fillId="0" borderId="13" xfId="42" applyNumberFormat="1" applyFont="1" applyBorder="1" applyAlignment="1">
      <alignment/>
    </xf>
    <xf numFmtId="9" fontId="26" fillId="0" borderId="13" xfId="71" applyFont="1" applyBorder="1" applyAlignment="1">
      <alignment/>
    </xf>
    <xf numFmtId="9" fontId="29" fillId="0" borderId="13" xfId="71" applyFont="1" applyBorder="1" applyAlignment="1">
      <alignment/>
    </xf>
    <xf numFmtId="0" fontId="14" fillId="0" borderId="38" xfId="0" applyFont="1" applyBorder="1" applyAlignment="1">
      <alignment horizontal="center"/>
    </xf>
    <xf numFmtId="0" fontId="14" fillId="0" borderId="38" xfId="0" applyFont="1" applyBorder="1" applyAlignment="1">
      <alignment/>
    </xf>
    <xf numFmtId="200" fontId="26" fillId="0" borderId="0" xfId="42" applyNumberFormat="1" applyFont="1" applyFill="1" applyAlignment="1">
      <alignment/>
    </xf>
    <xf numFmtId="3" fontId="16" fillId="0" borderId="0" xfId="60" applyNumberFormat="1" applyFont="1" applyFill="1" applyAlignment="1">
      <alignment vertical="center"/>
      <protection/>
    </xf>
    <xf numFmtId="3" fontId="25" fillId="0" borderId="0" xfId="0" applyNumberFormat="1" applyFont="1" applyAlignment="1">
      <alignment/>
    </xf>
    <xf numFmtId="200" fontId="25" fillId="0" borderId="13" xfId="42" applyNumberFormat="1" applyFont="1" applyFill="1" applyBorder="1" applyAlignment="1">
      <alignment vertical="center"/>
    </xf>
    <xf numFmtId="197" fontId="14" fillId="0" borderId="35" xfId="66" applyNumberFormat="1" applyFont="1" applyFill="1" applyBorder="1" applyAlignment="1" applyProtection="1">
      <alignment horizontal="center" vertical="center"/>
      <protection/>
    </xf>
    <xf numFmtId="197" fontId="14" fillId="0" borderId="35" xfId="66" applyNumberFormat="1" applyFont="1" applyFill="1" applyBorder="1" applyAlignment="1">
      <alignment horizontal="left" vertical="center"/>
      <protection/>
    </xf>
    <xf numFmtId="197" fontId="25" fillId="0" borderId="13" xfId="66" applyNumberFormat="1" applyFont="1" applyFill="1" applyBorder="1" applyAlignment="1">
      <alignment horizontal="center" vertical="center"/>
      <protection/>
    </xf>
    <xf numFmtId="197" fontId="25" fillId="0" borderId="13" xfId="66" applyNumberFormat="1" applyFont="1" applyFill="1" applyBorder="1" applyAlignment="1" applyProtection="1">
      <alignment horizontal="left" vertical="center"/>
      <protection/>
    </xf>
    <xf numFmtId="200" fontId="14" fillId="0" borderId="35" xfId="42" applyNumberFormat="1" applyFont="1" applyFill="1" applyBorder="1" applyAlignment="1">
      <alignment vertical="center"/>
    </xf>
    <xf numFmtId="49" fontId="31" fillId="0" borderId="12" xfId="60" applyNumberFormat="1" applyFont="1" applyFill="1" applyBorder="1" applyAlignment="1">
      <alignment vertical="center" wrapText="1"/>
      <protection/>
    </xf>
    <xf numFmtId="0" fontId="16" fillId="0" borderId="0" xfId="63" applyFont="1" applyAlignment="1">
      <alignment horizontal="centerContinuous"/>
      <protection/>
    </xf>
    <xf numFmtId="0" fontId="16" fillId="0" borderId="0" xfId="0" applyFont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16" fillId="0" borderId="0" xfId="63" applyFont="1" applyFill="1" applyAlignment="1">
      <alignment horizontal="centerContinuous"/>
      <protection/>
    </xf>
    <xf numFmtId="0" fontId="41" fillId="0" borderId="0" xfId="0" applyFont="1" applyAlignment="1">
      <alignment horizontal="centerContinuous"/>
    </xf>
    <xf numFmtId="3" fontId="31" fillId="0" borderId="39" xfId="60" applyNumberFormat="1" applyFont="1" applyFill="1" applyBorder="1" applyAlignment="1">
      <alignment horizontal="center" vertical="center" wrapText="1"/>
      <protection/>
    </xf>
    <xf numFmtId="0" fontId="31" fillId="0" borderId="0" xfId="60" applyFont="1" applyFill="1" applyAlignment="1">
      <alignment horizontal="center" vertical="center"/>
      <protection/>
    </xf>
    <xf numFmtId="0" fontId="31" fillId="0" borderId="12" xfId="60" applyFont="1" applyFill="1" applyBorder="1" applyAlignment="1">
      <alignment horizontal="center" vertical="center"/>
      <protection/>
    </xf>
    <xf numFmtId="3" fontId="31" fillId="0" borderId="40" xfId="60" applyNumberFormat="1" applyFont="1" applyFill="1" applyBorder="1" applyAlignment="1">
      <alignment horizontal="center" vertical="center" wrapText="1"/>
      <protection/>
    </xf>
    <xf numFmtId="0" fontId="30" fillId="0" borderId="0" xfId="60" applyFont="1" applyFill="1" applyAlignment="1">
      <alignment horizontal="center" vertical="center"/>
      <protection/>
    </xf>
    <xf numFmtId="49" fontId="30" fillId="0" borderId="0" xfId="60" applyNumberFormat="1" applyFont="1" applyFill="1" applyAlignment="1">
      <alignment vertical="center" wrapText="1"/>
      <protection/>
    </xf>
    <xf numFmtId="3" fontId="31" fillId="0" borderId="41" xfId="60" applyNumberFormat="1" applyFont="1" applyFill="1" applyBorder="1" applyAlignment="1">
      <alignment horizontal="center" vertical="center" wrapText="1"/>
      <protection/>
    </xf>
    <xf numFmtId="49" fontId="30" fillId="0" borderId="12" xfId="60" applyNumberFormat="1" applyFont="1" applyFill="1" applyBorder="1" applyAlignment="1">
      <alignment vertical="center" wrapText="1"/>
      <protection/>
    </xf>
    <xf numFmtId="0" fontId="7" fillId="0" borderId="0" xfId="0" applyFont="1" applyAlignment="1" quotePrefix="1">
      <alignment/>
    </xf>
    <xf numFmtId="0" fontId="42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 quotePrefix="1">
      <alignment vertical="center" wrapText="1"/>
    </xf>
    <xf numFmtId="0" fontId="36" fillId="0" borderId="13" xfId="0" applyFont="1" applyFill="1" applyBorder="1" applyAlignment="1">
      <alignment vertical="center" wrapText="1"/>
    </xf>
    <xf numFmtId="3" fontId="23" fillId="0" borderId="13" xfId="63" applyNumberFormat="1" applyFont="1" applyFill="1" applyBorder="1">
      <alignment/>
      <protection/>
    </xf>
    <xf numFmtId="0" fontId="44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3" fontId="6" fillId="0" borderId="14" xfId="63" applyNumberFormat="1" applyFont="1" applyFill="1" applyBorder="1">
      <alignment/>
      <protection/>
    </xf>
    <xf numFmtId="3" fontId="29" fillId="0" borderId="13" xfId="0" applyNumberFormat="1" applyFont="1" applyFill="1" applyBorder="1" applyAlignment="1">
      <alignment horizontal="left" wrapText="1"/>
    </xf>
    <xf numFmtId="0" fontId="29" fillId="0" borderId="13" xfId="0" applyFont="1" applyFill="1" applyBorder="1" applyAlignment="1" quotePrefix="1">
      <alignment/>
    </xf>
    <xf numFmtId="3" fontId="29" fillId="0" borderId="13" xfId="0" applyNumberFormat="1" applyFont="1" applyFill="1" applyBorder="1" applyAlignment="1">
      <alignment/>
    </xf>
    <xf numFmtId="3" fontId="29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7" fillId="0" borderId="13" xfId="0" applyFont="1" applyFill="1" applyBorder="1" applyAlignment="1">
      <alignment wrapText="1"/>
    </xf>
    <xf numFmtId="0" fontId="16" fillId="0" borderId="36" xfId="0" applyFont="1" applyFill="1" applyBorder="1" applyAlignment="1">
      <alignment/>
    </xf>
    <xf numFmtId="3" fontId="29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6" fillId="0" borderId="14" xfId="0" applyNumberFormat="1" applyFont="1" applyFill="1" applyBorder="1" applyAlignment="1">
      <alignment/>
    </xf>
    <xf numFmtId="3" fontId="27" fillId="0" borderId="38" xfId="0" applyNumberFormat="1" applyFont="1" applyFill="1" applyBorder="1" applyAlignment="1">
      <alignment/>
    </xf>
    <xf numFmtId="3" fontId="28" fillId="0" borderId="0" xfId="0" applyNumberFormat="1" applyFont="1" applyAlignment="1">
      <alignment/>
    </xf>
    <xf numFmtId="3" fontId="28" fillId="0" borderId="13" xfId="60" applyNumberFormat="1" applyFont="1" applyFill="1" applyBorder="1" applyAlignment="1">
      <alignment/>
      <protection/>
    </xf>
    <xf numFmtId="49" fontId="30" fillId="0" borderId="0" xfId="60" applyNumberFormat="1" applyFont="1" applyFill="1" applyAlignment="1">
      <alignment vertical="center"/>
      <protection/>
    </xf>
    <xf numFmtId="0" fontId="8" fillId="0" borderId="0" xfId="0" applyFont="1" applyFill="1" applyAlignment="1">
      <alignment/>
    </xf>
    <xf numFmtId="0" fontId="29" fillId="0" borderId="12" xfId="0" applyFont="1" applyFill="1" applyBorder="1" applyAlignment="1" quotePrefix="1">
      <alignment horizontal="center" vertical="center"/>
    </xf>
    <xf numFmtId="3" fontId="29" fillId="0" borderId="0" xfId="0" applyNumberFormat="1" applyFont="1" applyAlignment="1">
      <alignment vertical="center"/>
    </xf>
    <xf numFmtId="0" fontId="26" fillId="0" borderId="35" xfId="0" applyFont="1" applyFill="1" applyBorder="1" applyAlignment="1">
      <alignment horizontal="center"/>
    </xf>
    <xf numFmtId="0" fontId="26" fillId="0" borderId="35" xfId="0" applyFont="1" applyFill="1" applyBorder="1" applyAlignment="1">
      <alignment/>
    </xf>
    <xf numFmtId="3" fontId="25" fillId="0" borderId="0" xfId="0" applyNumberFormat="1" applyFont="1" applyFill="1" applyAlignment="1">
      <alignment vertical="center"/>
    </xf>
    <xf numFmtId="3" fontId="26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25" fillId="0" borderId="0" xfId="0" applyFont="1" applyFill="1" applyAlignment="1">
      <alignment/>
    </xf>
    <xf numFmtId="3" fontId="25" fillId="0" borderId="0" xfId="0" applyNumberFormat="1" applyFont="1" applyAlignment="1">
      <alignment vertical="center"/>
    </xf>
    <xf numFmtId="3" fontId="25" fillId="0" borderId="0" xfId="42" applyNumberFormat="1" applyFont="1" applyAlignment="1">
      <alignment/>
    </xf>
    <xf numFmtId="3" fontId="25" fillId="0" borderId="0" xfId="0" applyNumberFormat="1" applyFont="1" applyFill="1" applyAlignment="1">
      <alignment/>
    </xf>
    <xf numFmtId="3" fontId="29" fillId="0" borderId="0" xfId="63" applyNumberFormat="1" applyFont="1" applyFill="1">
      <alignment/>
      <protection/>
    </xf>
    <xf numFmtId="3" fontId="25" fillId="0" borderId="0" xfId="0" applyNumberFormat="1" applyFont="1" applyFill="1" applyAlignment="1">
      <alignment horizontal="center"/>
    </xf>
    <xf numFmtId="3" fontId="25" fillId="0" borderId="0" xfId="0" applyNumberFormat="1" applyFont="1" applyAlignment="1">
      <alignment horizontal="center"/>
    </xf>
    <xf numFmtId="3" fontId="26" fillId="0" borderId="28" xfId="0" applyNumberFormat="1" applyFont="1" applyFill="1" applyBorder="1" applyAlignment="1">
      <alignment/>
    </xf>
    <xf numFmtId="3" fontId="38" fillId="0" borderId="13" xfId="0" applyNumberFormat="1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26" fillId="0" borderId="13" xfId="63" applyFont="1" applyBorder="1" applyAlignment="1">
      <alignment horizontal="center"/>
      <protection/>
    </xf>
    <xf numFmtId="0" fontId="26" fillId="0" borderId="13" xfId="63" applyFont="1" applyBorder="1">
      <alignment/>
      <protection/>
    </xf>
    <xf numFmtId="3" fontId="7" fillId="0" borderId="0" xfId="63" applyNumberFormat="1" applyFont="1">
      <alignment/>
      <protection/>
    </xf>
    <xf numFmtId="197" fontId="6" fillId="0" borderId="39" xfId="66" applyNumberFormat="1" applyFont="1" applyFill="1" applyBorder="1" applyAlignment="1" applyProtection="1">
      <alignment horizontal="center" vertical="center" wrapText="1"/>
      <protection/>
    </xf>
    <xf numFmtId="0" fontId="6" fillId="0" borderId="12" xfId="66" applyFont="1" applyFill="1" applyBorder="1" applyAlignment="1">
      <alignment horizontal="center" vertical="center" wrapText="1"/>
      <protection/>
    </xf>
    <xf numFmtId="197" fontId="6" fillId="0" borderId="12" xfId="66" applyNumberFormat="1" applyFont="1" applyFill="1" applyBorder="1" applyAlignment="1" applyProtection="1">
      <alignment horizontal="center" vertical="center" wrapText="1"/>
      <protection/>
    </xf>
    <xf numFmtId="0" fontId="6" fillId="0" borderId="39" xfId="66" applyFont="1" applyFill="1" applyBorder="1" applyAlignment="1">
      <alignment horizontal="center" vertical="center" wrapText="1"/>
      <protection/>
    </xf>
    <xf numFmtId="197" fontId="30" fillId="0" borderId="15" xfId="66" applyNumberFormat="1" applyFont="1" applyFill="1" applyBorder="1" applyAlignment="1" applyProtection="1">
      <alignment horizontal="center" vertical="center" wrapText="1"/>
      <protection/>
    </xf>
    <xf numFmtId="0" fontId="30" fillId="0" borderId="15" xfId="66" applyFont="1" applyFill="1" applyBorder="1" applyAlignment="1">
      <alignment vertical="center" wrapText="1"/>
      <protection/>
    </xf>
    <xf numFmtId="197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>
      <alignment vertical="center" wrapText="1"/>
      <protection/>
    </xf>
    <xf numFmtId="197" fontId="25" fillId="0" borderId="12" xfId="66" applyNumberFormat="1" applyFont="1" applyFill="1" applyBorder="1" applyAlignment="1">
      <alignment horizontal="center" vertical="center" wrapText="1"/>
      <protection/>
    </xf>
    <xf numFmtId="9" fontId="14" fillId="0" borderId="28" xfId="71" applyFont="1" applyFill="1" applyBorder="1" applyAlignment="1">
      <alignment horizontal="center" vertical="center"/>
    </xf>
    <xf numFmtId="9" fontId="25" fillId="0" borderId="35" xfId="71" applyFont="1" applyFill="1" applyBorder="1" applyAlignment="1">
      <alignment horizontal="center" vertical="center"/>
    </xf>
    <xf numFmtId="197" fontId="25" fillId="0" borderId="10" xfId="66" applyNumberFormat="1" applyFont="1" applyFill="1" applyBorder="1" applyAlignment="1" applyProtection="1">
      <alignment horizontal="justify" vertical="center"/>
      <protection/>
    </xf>
    <xf numFmtId="0" fontId="25" fillId="0" borderId="10" xfId="66" applyFont="1" applyFill="1" applyBorder="1">
      <alignment/>
      <protection/>
    </xf>
    <xf numFmtId="0" fontId="24" fillId="0" borderId="0" xfId="67" applyFont="1" applyAlignment="1">
      <alignment vertical="center" wrapText="1"/>
      <protection/>
    </xf>
    <xf numFmtId="0" fontId="37" fillId="0" borderId="39" xfId="67" applyFont="1" applyBorder="1" applyAlignment="1">
      <alignment horizontal="center" vertical="center" wrapText="1"/>
      <protection/>
    </xf>
    <xf numFmtId="0" fontId="37" fillId="0" borderId="0" xfId="67" applyFont="1" applyAlignment="1">
      <alignment horizontal="center" vertical="center" wrapText="1"/>
      <protection/>
    </xf>
    <xf numFmtId="0" fontId="36" fillId="0" borderId="0" xfId="67" applyFont="1" applyAlignment="1">
      <alignment horizontal="center" vertical="center" wrapText="1"/>
      <protection/>
    </xf>
    <xf numFmtId="0" fontId="36" fillId="0" borderId="12" xfId="67" applyFont="1" applyBorder="1" applyAlignment="1">
      <alignment horizontal="center" vertical="center" wrapText="1"/>
      <protection/>
    </xf>
    <xf numFmtId="0" fontId="29" fillId="0" borderId="12" xfId="67" applyFont="1" applyBorder="1" applyAlignment="1">
      <alignment horizontal="center" vertical="center" wrapText="1"/>
      <protection/>
    </xf>
    <xf numFmtId="200" fontId="26" fillId="0" borderId="15" xfId="67" applyNumberFormat="1" applyFont="1" applyBorder="1" applyAlignment="1">
      <alignment horizontal="center" vertical="center" wrapText="1"/>
      <protection/>
    </xf>
    <xf numFmtId="0" fontId="29" fillId="0" borderId="28" xfId="67" applyFont="1" applyFill="1" applyBorder="1" applyAlignment="1">
      <alignment horizontal="center"/>
      <protection/>
    </xf>
    <xf numFmtId="0" fontId="29" fillId="0" borderId="28" xfId="67" applyFont="1" applyFill="1" applyBorder="1" applyAlignment="1">
      <alignment/>
      <protection/>
    </xf>
    <xf numFmtId="3" fontId="29" fillId="0" borderId="28" xfId="42" applyNumberFormat="1" applyFont="1" applyFill="1" applyBorder="1" applyAlignment="1">
      <alignment/>
    </xf>
    <xf numFmtId="0" fontId="29" fillId="0" borderId="0" xfId="67" applyFont="1" applyFill="1" applyAlignment="1">
      <alignment vertical="center"/>
      <protection/>
    </xf>
    <xf numFmtId="0" fontId="29" fillId="0" borderId="13" xfId="67" applyFont="1" applyFill="1" applyBorder="1" applyAlignment="1">
      <alignment horizontal="center"/>
      <protection/>
    </xf>
    <xf numFmtId="0" fontId="29" fillId="0" borderId="13" xfId="67" applyFont="1" applyFill="1" applyBorder="1" applyAlignment="1">
      <alignment/>
      <protection/>
    </xf>
    <xf numFmtId="3" fontId="29" fillId="0" borderId="13" xfId="42" applyNumberFormat="1" applyFont="1" applyFill="1" applyBorder="1" applyAlignment="1">
      <alignment/>
    </xf>
    <xf numFmtId="0" fontId="29" fillId="0" borderId="13" xfId="67" applyFont="1" applyBorder="1" applyAlignment="1">
      <alignment horizontal="center"/>
      <protection/>
    </xf>
    <xf numFmtId="0" fontId="29" fillId="0" borderId="13" xfId="67" applyFont="1" applyFill="1" applyBorder="1" applyAlignment="1">
      <alignment horizontal="left" wrapText="1"/>
      <protection/>
    </xf>
    <xf numFmtId="3" fontId="29" fillId="0" borderId="13" xfId="42" applyNumberFormat="1" applyFont="1" applyBorder="1" applyAlignment="1">
      <alignment/>
    </xf>
    <xf numFmtId="0" fontId="29" fillId="0" borderId="0" xfId="67" applyFont="1" applyAlignment="1">
      <alignment vertical="center"/>
      <protection/>
    </xf>
    <xf numFmtId="0" fontId="29" fillId="0" borderId="14" xfId="67" applyFont="1" applyFill="1" applyBorder="1" applyAlignment="1">
      <alignment horizontal="center"/>
      <protection/>
    </xf>
    <xf numFmtId="3" fontId="29" fillId="0" borderId="14" xfId="42" applyNumberFormat="1" applyFont="1" applyBorder="1" applyAlignment="1">
      <alignment/>
    </xf>
    <xf numFmtId="0" fontId="29" fillId="0" borderId="14" xfId="67" applyFont="1" applyFill="1" applyBorder="1" applyAlignment="1">
      <alignment/>
      <protection/>
    </xf>
    <xf numFmtId="0" fontId="26" fillId="0" borderId="39" xfId="67" applyFont="1" applyBorder="1" applyAlignment="1">
      <alignment horizontal="center" vertical="center" wrapText="1"/>
      <protection/>
    </xf>
    <xf numFmtId="3" fontId="29" fillId="0" borderId="38" xfId="0" applyNumberFormat="1" applyFont="1" applyFill="1" applyBorder="1" applyAlignment="1">
      <alignment/>
    </xf>
    <xf numFmtId="3" fontId="26" fillId="0" borderId="38" xfId="0" applyNumberFormat="1" applyFont="1" applyFill="1" applyBorder="1" applyAlignment="1">
      <alignment/>
    </xf>
    <xf numFmtId="3" fontId="31" fillId="0" borderId="12" xfId="60" applyNumberFormat="1" applyFont="1" applyFill="1" applyBorder="1" applyAlignment="1">
      <alignment vertical="center"/>
      <protection/>
    </xf>
    <xf numFmtId="3" fontId="30" fillId="0" borderId="35" xfId="60" applyNumberFormat="1" applyFont="1" applyFill="1" applyBorder="1" applyAlignment="1">
      <alignment vertical="center"/>
      <protection/>
    </xf>
    <xf numFmtId="0" fontId="31" fillId="0" borderId="42" xfId="60" applyFont="1" applyFill="1" applyBorder="1" applyAlignment="1">
      <alignment horizontal="center" vertical="center"/>
      <protection/>
    </xf>
    <xf numFmtId="0" fontId="30" fillId="0" borderId="0" xfId="60" applyFont="1" applyFill="1" applyBorder="1" applyAlignment="1">
      <alignment horizontal="center" vertical="center"/>
      <protection/>
    </xf>
    <xf numFmtId="49" fontId="30" fillId="0" borderId="0" xfId="60" applyNumberFormat="1" applyFont="1" applyFill="1" applyBorder="1" applyAlignment="1">
      <alignment vertical="center" wrapText="1"/>
      <protection/>
    </xf>
    <xf numFmtId="0" fontId="31" fillId="0" borderId="0" xfId="60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0" fillId="0" borderId="12" xfId="0" applyFont="1" applyFill="1" applyBorder="1" applyAlignment="1" quotePrefix="1">
      <alignment horizontal="center" vertical="center"/>
    </xf>
    <xf numFmtId="3" fontId="27" fillId="0" borderId="35" xfId="0" applyNumberFormat="1" applyFont="1" applyFill="1" applyBorder="1" applyAlignment="1">
      <alignment/>
    </xf>
    <xf numFmtId="3" fontId="28" fillId="0" borderId="13" xfId="0" applyNumberFormat="1" applyFont="1" applyFill="1" applyBorder="1" applyAlignment="1">
      <alignment/>
    </xf>
    <xf numFmtId="3" fontId="28" fillId="0" borderId="38" xfId="0" applyNumberFormat="1" applyFont="1" applyFill="1" applyBorder="1" applyAlignment="1">
      <alignment/>
    </xf>
    <xf numFmtId="3" fontId="27" fillId="0" borderId="38" xfId="0" applyNumberFormat="1" applyFont="1" applyFill="1" applyBorder="1" applyAlignment="1">
      <alignment/>
    </xf>
    <xf numFmtId="3" fontId="28" fillId="0" borderId="14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0" fontId="28" fillId="0" borderId="12" xfId="0" applyFont="1" applyFill="1" applyBorder="1" applyAlignment="1" quotePrefix="1">
      <alignment horizontal="center" vertical="center"/>
    </xf>
    <xf numFmtId="0" fontId="2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left"/>
    </xf>
    <xf numFmtId="0" fontId="31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7" fillId="0" borderId="35" xfId="0" applyFont="1" applyFill="1" applyBorder="1" applyAlignment="1">
      <alignment horizontal="center"/>
    </xf>
    <xf numFmtId="0" fontId="27" fillId="0" borderId="35" xfId="0" applyFont="1" applyFill="1" applyBorder="1" applyAlignment="1">
      <alignment/>
    </xf>
    <xf numFmtId="9" fontId="27" fillId="0" borderId="35" xfId="71" applyFont="1" applyFill="1" applyBorder="1" applyAlignment="1">
      <alignment horizontal="center"/>
    </xf>
    <xf numFmtId="9" fontId="27" fillId="0" borderId="0" xfId="71" applyFont="1" applyFill="1" applyBorder="1" applyAlignment="1">
      <alignment horizontal="center"/>
    </xf>
    <xf numFmtId="0" fontId="27" fillId="0" borderId="0" xfId="0" applyFont="1" applyFill="1" applyAlignment="1">
      <alignment/>
    </xf>
    <xf numFmtId="9" fontId="27" fillId="0" borderId="13" xfId="71" applyFont="1" applyFill="1" applyBorder="1" applyAlignment="1">
      <alignment horizontal="center"/>
    </xf>
    <xf numFmtId="9" fontId="28" fillId="0" borderId="0" xfId="71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/>
    </xf>
    <xf numFmtId="3" fontId="27" fillId="0" borderId="13" xfId="0" applyNumberFormat="1" applyFont="1" applyFill="1" applyBorder="1" applyAlignment="1">
      <alignment/>
    </xf>
    <xf numFmtId="9" fontId="28" fillId="0" borderId="13" xfId="71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/>
    </xf>
    <xf numFmtId="0" fontId="28" fillId="0" borderId="35" xfId="0" applyFont="1" applyFill="1" applyBorder="1" applyAlignment="1">
      <alignment horizontal="center"/>
    </xf>
    <xf numFmtId="0" fontId="28" fillId="0" borderId="35" xfId="0" applyFont="1" applyFill="1" applyBorder="1" applyAlignment="1">
      <alignment/>
    </xf>
    <xf numFmtId="0" fontId="28" fillId="0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/>
    </xf>
    <xf numFmtId="3" fontId="27" fillId="0" borderId="14" xfId="0" applyNumberFormat="1" applyFont="1" applyFill="1" applyBorder="1" applyAlignment="1">
      <alignment/>
    </xf>
    <xf numFmtId="3" fontId="27" fillId="0" borderId="14" xfId="0" applyNumberFormat="1" applyFont="1" applyFill="1" applyBorder="1" applyAlignment="1">
      <alignment/>
    </xf>
    <xf numFmtId="9" fontId="28" fillId="0" borderId="14" xfId="71" applyFont="1" applyFill="1" applyBorder="1" applyAlignment="1">
      <alignment horizontal="center"/>
    </xf>
    <xf numFmtId="0" fontId="12" fillId="0" borderId="0" xfId="0" applyFont="1" applyFill="1" applyAlignment="1">
      <alignment horizontal="centerContinuous"/>
    </xf>
    <xf numFmtId="0" fontId="11" fillId="0" borderId="0" xfId="0" applyFont="1" applyFill="1" applyAlignment="1" quotePrefix="1">
      <alignment horizontal="centerContinuous"/>
    </xf>
    <xf numFmtId="200" fontId="7" fillId="0" borderId="0" xfId="42" applyNumberFormat="1" applyFont="1" applyFill="1" applyAlignment="1">
      <alignment horizontal="left"/>
    </xf>
    <xf numFmtId="200" fontId="29" fillId="0" borderId="0" xfId="0" applyNumberFormat="1" applyFont="1" applyFill="1" applyAlignment="1">
      <alignment/>
    </xf>
    <xf numFmtId="200" fontId="29" fillId="0" borderId="0" xfId="42" applyNumberFormat="1" applyFont="1" applyFill="1" applyAlignment="1">
      <alignment/>
    </xf>
    <xf numFmtId="200" fontId="28" fillId="0" borderId="0" xfId="42" applyNumberFormat="1" applyFont="1" applyFill="1" applyAlignment="1">
      <alignment/>
    </xf>
    <xf numFmtId="0" fontId="14" fillId="0" borderId="0" xfId="0" applyFont="1" applyFill="1" applyAlignment="1">
      <alignment vertical="center"/>
    </xf>
    <xf numFmtId="0" fontId="29" fillId="0" borderId="14" xfId="0" applyFont="1" applyFill="1" applyBorder="1" applyAlignment="1">
      <alignment horizontal="center"/>
    </xf>
    <xf numFmtId="3" fontId="2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/>
    </xf>
    <xf numFmtId="3" fontId="30" fillId="0" borderId="12" xfId="60" applyNumberFormat="1" applyFont="1" applyFill="1" applyBorder="1" applyAlignment="1">
      <alignment vertical="center"/>
      <protection/>
    </xf>
    <xf numFmtId="0" fontId="30" fillId="0" borderId="12" xfId="60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horizontal="right"/>
      <protection/>
    </xf>
    <xf numFmtId="0" fontId="26" fillId="0" borderId="0" xfId="0" applyFont="1" applyFill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 vertical="center"/>
    </xf>
    <xf numFmtId="3" fontId="25" fillId="0" borderId="28" xfId="0" applyNumberFormat="1" applyFont="1" applyFill="1" applyBorder="1" applyAlignment="1">
      <alignment/>
    </xf>
    <xf numFmtId="3" fontId="7" fillId="0" borderId="0" xfId="0" applyNumberFormat="1" applyFont="1" applyFill="1" applyAlignment="1">
      <alignment vertical="center"/>
    </xf>
    <xf numFmtId="3" fontId="26" fillId="0" borderId="0" xfId="63" applyNumberFormat="1" applyFont="1">
      <alignment/>
      <protection/>
    </xf>
    <xf numFmtId="3" fontId="25" fillId="0" borderId="0" xfId="63" applyNumberFormat="1" applyFont="1" applyAlignment="1">
      <alignment vertical="center"/>
      <protection/>
    </xf>
    <xf numFmtId="200" fontId="7" fillId="0" borderId="13" xfId="0" applyNumberFormat="1" applyFont="1" applyFill="1" applyBorder="1" applyAlignment="1">
      <alignment/>
    </xf>
    <xf numFmtId="3" fontId="11" fillId="0" borderId="0" xfId="63" applyNumberFormat="1" applyFont="1" applyFill="1">
      <alignment/>
      <protection/>
    </xf>
    <xf numFmtId="0" fontId="7" fillId="0" borderId="13" xfId="0" applyFont="1" applyFill="1" applyBorder="1" applyAlignment="1" quotePrefix="1">
      <alignment horizontal="center"/>
    </xf>
    <xf numFmtId="3" fontId="26" fillId="0" borderId="38" xfId="0" applyNumberFormat="1" applyFont="1" applyBorder="1" applyAlignment="1">
      <alignment/>
    </xf>
    <xf numFmtId="0" fontId="14" fillId="0" borderId="14" xfId="0" applyFont="1" applyBorder="1" applyAlignment="1">
      <alignment/>
    </xf>
    <xf numFmtId="200" fontId="26" fillId="0" borderId="14" xfId="42" applyNumberFormat="1" applyFont="1" applyBorder="1" applyAlignment="1">
      <alignment/>
    </xf>
    <xf numFmtId="3" fontId="29" fillId="0" borderId="14" xfId="63" applyNumberFormat="1" applyFont="1" applyBorder="1">
      <alignment/>
      <protection/>
    </xf>
    <xf numFmtId="9" fontId="29" fillId="0" borderId="14" xfId="71" applyFont="1" applyBorder="1" applyAlignment="1">
      <alignment/>
    </xf>
    <xf numFmtId="0" fontId="10" fillId="0" borderId="36" xfId="0" applyFont="1" applyFill="1" applyBorder="1" applyAlignment="1">
      <alignment/>
    </xf>
    <xf numFmtId="9" fontId="29" fillId="0" borderId="10" xfId="71" applyFont="1" applyFill="1" applyBorder="1" applyAlignment="1">
      <alignment/>
    </xf>
    <xf numFmtId="0" fontId="10" fillId="0" borderId="0" xfId="63" applyFont="1" applyFill="1" applyBorder="1" applyAlignment="1">
      <alignment horizontal="right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28" fillId="0" borderId="12" xfId="63" applyFont="1" applyFill="1" applyBorder="1" applyAlignment="1">
      <alignment horizontal="center" vertical="center"/>
      <protection/>
    </xf>
    <xf numFmtId="0" fontId="28" fillId="0" borderId="0" xfId="63" applyFont="1" applyFill="1" applyBorder="1" applyAlignment="1">
      <alignment horizontal="center" vertical="center"/>
      <protection/>
    </xf>
    <xf numFmtId="0" fontId="28" fillId="0" borderId="0" xfId="63" applyFont="1" applyFill="1" applyAlignment="1">
      <alignment vertical="center"/>
      <protection/>
    </xf>
    <xf numFmtId="0" fontId="14" fillId="0" borderId="35" xfId="63" applyFont="1" applyFill="1" applyBorder="1" applyAlignment="1">
      <alignment horizontal="center"/>
      <protection/>
    </xf>
    <xf numFmtId="0" fontId="14" fillId="0" borderId="35" xfId="63" applyFont="1" applyFill="1" applyBorder="1">
      <alignment/>
      <protection/>
    </xf>
    <xf numFmtId="200" fontId="14" fillId="0" borderId="35" xfId="42" applyNumberFormat="1" applyFont="1" applyFill="1" applyBorder="1" applyAlignment="1">
      <alignment/>
    </xf>
    <xf numFmtId="200" fontId="6" fillId="0" borderId="0" xfId="42" applyNumberFormat="1" applyFont="1" applyFill="1" applyBorder="1" applyAlignment="1">
      <alignment/>
    </xf>
    <xf numFmtId="200" fontId="25" fillId="0" borderId="13" xfId="42" applyNumberFormat="1" applyFont="1" applyFill="1" applyBorder="1" applyAlignment="1">
      <alignment/>
    </xf>
    <xf numFmtId="200" fontId="7" fillId="0" borderId="0" xfId="42" applyNumberFormat="1" applyFont="1" applyFill="1" applyBorder="1" applyAlignment="1">
      <alignment/>
    </xf>
    <xf numFmtId="200" fontId="25" fillId="0" borderId="14" xfId="42" applyNumberFormat="1" applyFont="1" applyFill="1" applyBorder="1" applyAlignment="1">
      <alignment/>
    </xf>
    <xf numFmtId="200" fontId="25" fillId="0" borderId="13" xfId="42" applyNumberFormat="1" applyFont="1" applyFill="1" applyBorder="1" applyAlignment="1" quotePrefix="1">
      <alignment horizontal="center" vertical="center" wrapText="1"/>
    </xf>
    <xf numFmtId="200" fontId="25" fillId="0" borderId="13" xfId="42" applyNumberFormat="1" applyFont="1" applyFill="1" applyBorder="1" applyAlignment="1">
      <alignment horizontal="left" vertical="center" wrapText="1"/>
    </xf>
    <xf numFmtId="200" fontId="25" fillId="0" borderId="14" xfId="42" applyNumberFormat="1" applyFont="1" applyFill="1" applyBorder="1" applyAlignment="1" quotePrefix="1">
      <alignment horizontal="center" vertical="center" wrapText="1"/>
    </xf>
    <xf numFmtId="200" fontId="25" fillId="0" borderId="14" xfId="42" applyNumberFormat="1" applyFont="1" applyFill="1" applyBorder="1" applyAlignment="1">
      <alignment horizontal="left" vertical="center" wrapText="1"/>
    </xf>
    <xf numFmtId="200" fontId="26" fillId="0" borderId="13" xfId="42" applyNumberFormat="1" applyFont="1" applyFill="1" applyBorder="1" applyAlignment="1">
      <alignment horizontal="center"/>
    </xf>
    <xf numFmtId="200" fontId="26" fillId="0" borderId="13" xfId="42" applyNumberFormat="1" applyFont="1" applyFill="1" applyBorder="1" applyAlignment="1">
      <alignment/>
    </xf>
    <xf numFmtId="200" fontId="8" fillId="0" borderId="0" xfId="42" applyNumberFormat="1" applyFont="1" applyFill="1" applyAlignment="1">
      <alignment/>
    </xf>
    <xf numFmtId="9" fontId="27" fillId="0" borderId="35" xfId="71" applyFont="1" applyFill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3" fontId="29" fillId="0" borderId="0" xfId="63" applyNumberFormat="1" applyFont="1" applyBorder="1">
      <alignment/>
      <protection/>
    </xf>
    <xf numFmtId="9" fontId="29" fillId="0" borderId="0" xfId="71" applyFont="1" applyBorder="1" applyAlignment="1">
      <alignment/>
    </xf>
    <xf numFmtId="200" fontId="10" fillId="0" borderId="0" xfId="0" applyNumberFormat="1" applyFont="1" applyFill="1" applyAlignment="1">
      <alignment horizontal="left"/>
    </xf>
    <xf numFmtId="200" fontId="7" fillId="0" borderId="0" xfId="0" applyNumberFormat="1" applyFont="1" applyFill="1" applyAlignment="1">
      <alignment/>
    </xf>
    <xf numFmtId="200" fontId="11" fillId="0" borderId="0" xfId="0" applyNumberFormat="1" applyFont="1" applyFill="1" applyAlignment="1">
      <alignment/>
    </xf>
    <xf numFmtId="0" fontId="16" fillId="0" borderId="0" xfId="65" applyNumberFormat="1" applyFont="1" applyFill="1" applyBorder="1" applyAlignment="1">
      <alignment vertical="center" wrapText="1"/>
    </xf>
    <xf numFmtId="200" fontId="10" fillId="0" borderId="36" xfId="0" applyNumberFormat="1" applyFont="1" applyFill="1" applyBorder="1" applyAlignment="1">
      <alignment/>
    </xf>
    <xf numFmtId="0" fontId="26" fillId="0" borderId="35" xfId="60" applyFont="1" applyFill="1" applyBorder="1" applyAlignment="1">
      <alignment horizontal="center" vertical="center"/>
      <protection/>
    </xf>
    <xf numFmtId="49" fontId="26" fillId="0" borderId="35" xfId="60" applyNumberFormat="1" applyFont="1" applyFill="1" applyBorder="1" applyAlignment="1">
      <alignment horizontal="center" vertical="center" wrapText="1"/>
      <protection/>
    </xf>
    <xf numFmtId="3" fontId="26" fillId="0" borderId="35" xfId="60" applyNumberFormat="1" applyFont="1" applyFill="1" applyBorder="1" applyAlignment="1">
      <alignment horizontal="right" vertical="center"/>
      <protection/>
    </xf>
    <xf numFmtId="9" fontId="26" fillId="0" borderId="28" xfId="60" applyNumberFormat="1" applyFont="1" applyFill="1" applyBorder="1" applyAlignment="1">
      <alignment vertical="center"/>
      <protection/>
    </xf>
    <xf numFmtId="0" fontId="26" fillId="0" borderId="0" xfId="60" applyFont="1" applyFill="1" applyAlignment="1">
      <alignment vertical="center"/>
      <protection/>
    </xf>
    <xf numFmtId="49" fontId="26" fillId="0" borderId="35" xfId="60" applyNumberFormat="1" applyFont="1" applyFill="1" applyBorder="1" applyAlignment="1">
      <alignment horizontal="left" vertical="center" wrapText="1"/>
      <protection/>
    </xf>
    <xf numFmtId="9" fontId="26" fillId="0" borderId="13" xfId="60" applyNumberFormat="1" applyFont="1" applyFill="1" applyBorder="1" applyAlignment="1">
      <alignment vertical="center"/>
      <protection/>
    </xf>
    <xf numFmtId="0" fontId="29" fillId="0" borderId="13" xfId="60" applyFont="1" applyFill="1" applyBorder="1" applyAlignment="1">
      <alignment horizontal="center" vertical="center"/>
      <protection/>
    </xf>
    <xf numFmtId="49" fontId="29" fillId="0" borderId="13" xfId="60" applyNumberFormat="1" applyFont="1" applyFill="1" applyBorder="1" applyAlignment="1">
      <alignment vertical="center" wrapText="1"/>
      <protection/>
    </xf>
    <xf numFmtId="3" fontId="29" fillId="0" borderId="13" xfId="60" applyNumberFormat="1" applyFont="1" applyFill="1" applyBorder="1" applyAlignment="1">
      <alignment horizontal="right" vertical="center"/>
      <protection/>
    </xf>
    <xf numFmtId="9" fontId="29" fillId="0" borderId="13" xfId="60" applyNumberFormat="1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3" fontId="29" fillId="0" borderId="13" xfId="60" applyNumberFormat="1" applyFont="1" applyFill="1" applyBorder="1" applyAlignment="1">
      <alignment vertical="center"/>
      <protection/>
    </xf>
    <xf numFmtId="0" fontId="29" fillId="0" borderId="38" xfId="60" applyFont="1" applyFill="1" applyBorder="1" applyAlignment="1">
      <alignment horizontal="center" vertical="center"/>
      <protection/>
    </xf>
    <xf numFmtId="49" fontId="29" fillId="0" borderId="38" xfId="60" applyNumberFormat="1" applyFont="1" applyFill="1" applyBorder="1" applyAlignment="1">
      <alignment vertical="center" wrapText="1"/>
      <protection/>
    </xf>
    <xf numFmtId="3" fontId="29" fillId="0" borderId="38" xfId="60" applyNumberFormat="1" applyFont="1" applyFill="1" applyBorder="1" applyAlignment="1">
      <alignment vertical="center"/>
      <protection/>
    </xf>
    <xf numFmtId="0" fontId="29" fillId="0" borderId="14" xfId="60" applyFont="1" applyFill="1" applyBorder="1" applyAlignment="1">
      <alignment horizontal="center" vertical="center"/>
      <protection/>
    </xf>
    <xf numFmtId="49" fontId="29" fillId="0" borderId="14" xfId="60" applyNumberFormat="1" applyFont="1" applyFill="1" applyBorder="1" applyAlignment="1">
      <alignment vertical="center" wrapText="1"/>
      <protection/>
    </xf>
    <xf numFmtId="3" fontId="29" fillId="0" borderId="14" xfId="60" applyNumberFormat="1" applyFont="1" applyFill="1" applyBorder="1" applyAlignment="1">
      <alignment vertical="center"/>
      <protection/>
    </xf>
    <xf numFmtId="9" fontId="29" fillId="0" borderId="14" xfId="60" applyNumberFormat="1" applyFont="1" applyFill="1" applyBorder="1" applyAlignment="1">
      <alignment vertical="center"/>
      <protection/>
    </xf>
    <xf numFmtId="0" fontId="29" fillId="0" borderId="0" xfId="60" applyFont="1" applyFill="1" applyAlignment="1">
      <alignment horizontal="center" vertical="center"/>
      <protection/>
    </xf>
    <xf numFmtId="49" fontId="26" fillId="0" borderId="28" xfId="60" applyNumberFormat="1" applyFont="1" applyFill="1" applyBorder="1" applyAlignment="1">
      <alignment horizontal="center" vertical="center" wrapText="1"/>
      <protection/>
    </xf>
    <xf numFmtId="49" fontId="26" fillId="0" borderId="13" xfId="60" applyNumberFormat="1" applyFont="1" applyFill="1" applyBorder="1" applyAlignment="1">
      <alignment horizontal="left" vertical="center" wrapText="1"/>
      <protection/>
    </xf>
    <xf numFmtId="3" fontId="29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0" fontId="26" fillId="0" borderId="28" xfId="0" applyFont="1" applyFill="1" applyBorder="1" applyAlignment="1">
      <alignment horizontal="center"/>
    </xf>
    <xf numFmtId="0" fontId="26" fillId="0" borderId="28" xfId="0" applyFont="1" applyFill="1" applyBorder="1" applyAlignment="1">
      <alignment/>
    </xf>
    <xf numFmtId="3" fontId="26" fillId="0" borderId="13" xfId="0" applyNumberFormat="1" applyFont="1" applyFill="1" applyBorder="1" applyAlignment="1">
      <alignment horizontal="right"/>
    </xf>
    <xf numFmtId="9" fontId="26" fillId="0" borderId="13" xfId="71" applyFont="1" applyFill="1" applyBorder="1" applyAlignment="1">
      <alignment horizontal="right"/>
    </xf>
    <xf numFmtId="3" fontId="29" fillId="0" borderId="13" xfId="0" applyNumberFormat="1" applyFont="1" applyFill="1" applyBorder="1" applyAlignment="1">
      <alignment horizontal="right"/>
    </xf>
    <xf numFmtId="9" fontId="29" fillId="0" borderId="13" xfId="71" applyFont="1" applyFill="1" applyBorder="1" applyAlignment="1">
      <alignment horizontal="right"/>
    </xf>
    <xf numFmtId="0" fontId="38" fillId="0" borderId="13" xfId="0" applyFont="1" applyFill="1" applyBorder="1" applyAlignment="1">
      <alignment horizontal="center"/>
    </xf>
    <xf numFmtId="0" fontId="38" fillId="0" borderId="13" xfId="0" applyFont="1" applyFill="1" applyBorder="1" applyAlignment="1">
      <alignment/>
    </xf>
    <xf numFmtId="9" fontId="38" fillId="0" borderId="13" xfId="71" applyFont="1" applyFill="1" applyBorder="1" applyAlignment="1">
      <alignment horizontal="right"/>
    </xf>
    <xf numFmtId="3" fontId="23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200" fontId="6" fillId="0" borderId="0" xfId="42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29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28" fillId="0" borderId="0" xfId="63" applyFont="1" applyFill="1">
      <alignment/>
      <protection/>
    </xf>
    <xf numFmtId="0" fontId="10" fillId="0" borderId="0" xfId="63" applyFont="1" applyFill="1" applyAlignment="1">
      <alignment horizontal="centerContinuous"/>
      <protection/>
    </xf>
    <xf numFmtId="0" fontId="10" fillId="0" borderId="0" xfId="63" applyFont="1" applyFill="1" applyAlignment="1">
      <alignment horizontal="right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200" fontId="28" fillId="0" borderId="0" xfId="63" applyNumberFormat="1" applyFont="1" applyFill="1">
      <alignment/>
      <protection/>
    </xf>
    <xf numFmtId="0" fontId="29" fillId="0" borderId="12" xfId="63" applyFont="1" applyFill="1" applyBorder="1" applyAlignment="1">
      <alignment horizontal="center" vertical="center"/>
      <protection/>
    </xf>
    <xf numFmtId="0" fontId="29" fillId="0" borderId="11" xfId="63" applyFont="1" applyFill="1" applyBorder="1" applyAlignment="1">
      <alignment horizontal="center" vertical="center"/>
      <protection/>
    </xf>
    <xf numFmtId="0" fontId="29" fillId="0" borderId="0" xfId="63" applyFont="1" applyFill="1" applyBorder="1" applyAlignment="1">
      <alignment horizontal="center" vertical="center"/>
      <protection/>
    </xf>
    <xf numFmtId="0" fontId="29" fillId="0" borderId="0" xfId="63" applyFont="1" applyFill="1" applyAlignment="1">
      <alignment vertical="center"/>
      <protection/>
    </xf>
    <xf numFmtId="0" fontId="36" fillId="0" borderId="35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200" fontId="37" fillId="0" borderId="35" xfId="42" applyNumberFormat="1" applyFont="1" applyFill="1" applyBorder="1" applyAlignment="1">
      <alignment horizontal="center" vertical="center" wrapText="1"/>
    </xf>
    <xf numFmtId="9" fontId="37" fillId="0" borderId="35" xfId="71" applyFont="1" applyFill="1" applyBorder="1" applyAlignment="1">
      <alignment horizontal="center" vertical="center" wrapText="1"/>
    </xf>
    <xf numFmtId="9" fontId="37" fillId="0" borderId="0" xfId="7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vertical="center" wrapText="1"/>
    </xf>
    <xf numFmtId="200" fontId="37" fillId="0" borderId="13" xfId="42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200" fontId="36" fillId="0" borderId="13" xfId="42" applyNumberFormat="1" applyFont="1" applyFill="1" applyBorder="1" applyAlignment="1">
      <alignment horizontal="center" vertical="center" wrapText="1"/>
    </xf>
    <xf numFmtId="9" fontId="36" fillId="0" borderId="35" xfId="71" applyFont="1" applyFill="1" applyBorder="1" applyAlignment="1">
      <alignment horizontal="center" vertical="center" wrapText="1"/>
    </xf>
    <xf numFmtId="9" fontId="36" fillId="0" borderId="0" xfId="71" applyFont="1" applyFill="1" applyBorder="1" applyAlignment="1">
      <alignment horizontal="center" vertical="center" wrapText="1"/>
    </xf>
    <xf numFmtId="0" fontId="7" fillId="0" borderId="13" xfId="63" applyFont="1" applyFill="1" applyBorder="1">
      <alignment/>
      <protection/>
    </xf>
    <xf numFmtId="0" fontId="37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 wrapText="1"/>
    </xf>
    <xf numFmtId="200" fontId="36" fillId="0" borderId="14" xfId="42" applyNumberFormat="1" applyFont="1" applyFill="1" applyBorder="1" applyAlignment="1">
      <alignment horizontal="center" vertical="center" wrapText="1"/>
    </xf>
    <xf numFmtId="200" fontId="37" fillId="0" borderId="14" xfId="42" applyNumberFormat="1" applyFont="1" applyFill="1" applyBorder="1" applyAlignment="1">
      <alignment horizontal="center" vertical="center" wrapText="1"/>
    </xf>
    <xf numFmtId="9" fontId="37" fillId="0" borderId="14" xfId="7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3" fontId="29" fillId="0" borderId="0" xfId="0" applyNumberFormat="1" applyFont="1" applyAlignment="1">
      <alignment horizontal="left"/>
    </xf>
    <xf numFmtId="0" fontId="29" fillId="0" borderId="0" xfId="0" applyFont="1" applyFill="1" applyAlignment="1">
      <alignment horizontal="left"/>
    </xf>
    <xf numFmtId="0" fontId="29" fillId="0" borderId="0" xfId="63" applyFont="1" applyFill="1">
      <alignment/>
      <protection/>
    </xf>
    <xf numFmtId="0" fontId="35" fillId="0" borderId="0" xfId="63" applyFont="1" applyFill="1">
      <alignment/>
      <protection/>
    </xf>
    <xf numFmtId="3" fontId="26" fillId="0" borderId="0" xfId="63" applyNumberFormat="1" applyFont="1" applyFill="1">
      <alignment/>
      <protection/>
    </xf>
    <xf numFmtId="0" fontId="26" fillId="0" borderId="0" xfId="63" applyFont="1" applyFill="1">
      <alignment/>
      <protection/>
    </xf>
    <xf numFmtId="3" fontId="30" fillId="0" borderId="0" xfId="60" applyNumberFormat="1" applyFont="1" applyFill="1" applyBorder="1" applyAlignment="1">
      <alignment vertical="center"/>
      <protection/>
    </xf>
    <xf numFmtId="0" fontId="29" fillId="0" borderId="15" xfId="60" applyFont="1" applyFill="1" applyBorder="1" applyAlignment="1">
      <alignment horizontal="center" vertical="center"/>
      <protection/>
    </xf>
    <xf numFmtId="49" fontId="29" fillId="0" borderId="35" xfId="60" applyNumberFormat="1" applyFont="1" applyFill="1" applyBorder="1" applyAlignment="1">
      <alignment vertical="center" wrapText="1"/>
      <protection/>
    </xf>
    <xf numFmtId="3" fontId="29" fillId="0" borderId="39" xfId="60" applyNumberFormat="1" applyFont="1" applyFill="1" applyBorder="1" applyAlignment="1">
      <alignment vertical="center"/>
      <protection/>
    </xf>
    <xf numFmtId="3" fontId="29" fillId="0" borderId="39" xfId="0" applyNumberFormat="1" applyFont="1" applyFill="1" applyBorder="1" applyAlignment="1">
      <alignment/>
    </xf>
    <xf numFmtId="3" fontId="29" fillId="0" borderId="15" xfId="60" applyNumberFormat="1" applyFont="1" applyFill="1" applyBorder="1" applyAlignment="1">
      <alignment vertical="center"/>
      <protection/>
    </xf>
    <xf numFmtId="3" fontId="29" fillId="0" borderId="15" xfId="0" applyNumberFormat="1" applyFont="1" applyFill="1" applyBorder="1" applyAlignment="1">
      <alignment/>
    </xf>
    <xf numFmtId="49" fontId="29" fillId="0" borderId="12" xfId="60" applyNumberFormat="1" applyFont="1" applyFill="1" applyBorder="1" applyAlignment="1">
      <alignment vertical="center" wrapText="1"/>
      <protection/>
    </xf>
    <xf numFmtId="9" fontId="29" fillId="0" borderId="28" xfId="60" applyNumberFormat="1" applyFont="1" applyFill="1" applyBorder="1" applyAlignment="1">
      <alignment vertical="center"/>
      <protection/>
    </xf>
    <xf numFmtId="3" fontId="29" fillId="0" borderId="14" xfId="0" applyNumberFormat="1" applyFont="1" applyFill="1" applyBorder="1" applyAlignment="1">
      <alignment/>
    </xf>
    <xf numFmtId="0" fontId="7" fillId="24" borderId="0" xfId="60" applyFont="1" applyFill="1" applyAlignment="1">
      <alignment horizontal="center" vertical="center"/>
      <protection/>
    </xf>
    <xf numFmtId="0" fontId="6" fillId="24" borderId="0" xfId="60" applyFont="1" applyFill="1" applyAlignment="1">
      <alignment horizontal="center" vertical="center"/>
      <protection/>
    </xf>
    <xf numFmtId="0" fontId="30" fillId="24" borderId="0" xfId="60" applyFont="1" applyFill="1" applyAlignment="1">
      <alignment horizontal="center" vertical="center"/>
      <protection/>
    </xf>
    <xf numFmtId="200" fontId="30" fillId="24" borderId="0" xfId="42" applyNumberFormat="1" applyFont="1" applyFill="1" applyAlignment="1">
      <alignment vertical="center" wrapText="1"/>
    </xf>
    <xf numFmtId="3" fontId="30" fillId="24" borderId="0" xfId="60" applyNumberFormat="1" applyFont="1" applyFill="1" applyAlignment="1">
      <alignment vertical="center"/>
      <protection/>
    </xf>
    <xf numFmtId="49" fontId="30" fillId="24" borderId="0" xfId="60" applyNumberFormat="1" applyFont="1" applyFill="1" applyAlignment="1">
      <alignment vertical="center" wrapText="1"/>
      <protection/>
    </xf>
    <xf numFmtId="0" fontId="30" fillId="24" borderId="0" xfId="60" applyFont="1" applyFill="1" applyAlignment="1">
      <alignment vertical="center"/>
      <protection/>
    </xf>
    <xf numFmtId="0" fontId="3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9" fontId="26" fillId="0" borderId="0" xfId="71" applyFont="1" applyFill="1" applyBorder="1" applyAlignment="1">
      <alignment/>
    </xf>
    <xf numFmtId="9" fontId="29" fillId="0" borderId="0" xfId="71" applyFont="1" applyFill="1" applyBorder="1" applyAlignment="1">
      <alignment/>
    </xf>
    <xf numFmtId="0" fontId="1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3" fontId="27" fillId="0" borderId="35" xfId="42" applyNumberFormat="1" applyFont="1" applyFill="1" applyBorder="1" applyAlignment="1">
      <alignment/>
    </xf>
    <xf numFmtId="3" fontId="29" fillId="0" borderId="13" xfId="42" applyNumberFormat="1" applyFont="1" applyFill="1" applyBorder="1" applyAlignment="1">
      <alignment/>
    </xf>
    <xf numFmtId="3" fontId="29" fillId="0" borderId="14" xfId="42" applyNumberFormat="1" applyFont="1" applyFill="1" applyBorder="1" applyAlignment="1">
      <alignment/>
    </xf>
    <xf numFmtId="3" fontId="29" fillId="0" borderId="13" xfId="43" applyNumberFormat="1" applyFont="1" applyFill="1" applyBorder="1" applyAlignment="1" quotePrefix="1">
      <alignment horizontal="center" vertical="center" wrapText="1"/>
    </xf>
    <xf numFmtId="3" fontId="29" fillId="0" borderId="14" xfId="43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Alignment="1">
      <alignment horizontal="center"/>
    </xf>
    <xf numFmtId="0" fontId="35" fillId="0" borderId="36" xfId="0" applyFont="1" applyFill="1" applyBorder="1" applyAlignment="1">
      <alignment horizontal="center"/>
    </xf>
    <xf numFmtId="3" fontId="31" fillId="0" borderId="12" xfId="60" applyNumberFormat="1" applyFont="1" applyFill="1" applyBorder="1" applyAlignment="1">
      <alignment horizontal="center" vertical="center" wrapText="1"/>
      <protection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9" fontId="6" fillId="0" borderId="13" xfId="7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3" xfId="0" applyNumberFormat="1" applyFont="1" applyFill="1" applyBorder="1" applyAlignment="1">
      <alignment/>
    </xf>
    <xf numFmtId="9" fontId="7" fillId="0" borderId="13" xfId="71" applyFont="1" applyBorder="1" applyAlignment="1">
      <alignment/>
    </xf>
    <xf numFmtId="3" fontId="45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35" fillId="0" borderId="14" xfId="0" applyNumberFormat="1" applyFont="1" applyFill="1" applyBorder="1" applyAlignment="1">
      <alignment/>
    </xf>
    <xf numFmtId="3" fontId="26" fillId="0" borderId="14" xfId="0" applyNumberFormat="1" applyFont="1" applyFill="1" applyBorder="1" applyAlignment="1">
      <alignment horizontal="right"/>
    </xf>
    <xf numFmtId="9" fontId="29" fillId="0" borderId="14" xfId="71" applyFont="1" applyFill="1" applyBorder="1" applyAlignment="1">
      <alignment horizontal="right"/>
    </xf>
    <xf numFmtId="3" fontId="28" fillId="0" borderId="0" xfId="60" applyNumberFormat="1" applyFont="1" applyFill="1" applyAlignment="1">
      <alignment vertical="center"/>
      <protection/>
    </xf>
    <xf numFmtId="3" fontId="26" fillId="0" borderId="35" xfId="60" applyNumberFormat="1" applyFont="1" applyFill="1" applyBorder="1" applyAlignment="1">
      <alignment horizontal="right" vertical="center" wrapText="1"/>
      <protection/>
    </xf>
    <xf numFmtId="3" fontId="29" fillId="0" borderId="28" xfId="60" applyNumberFormat="1" applyFont="1" applyFill="1" applyBorder="1" applyAlignment="1">
      <alignment vertical="center"/>
      <protection/>
    </xf>
    <xf numFmtId="0" fontId="31" fillId="0" borderId="0" xfId="60" applyFont="1" applyFill="1" applyBorder="1" applyAlignment="1">
      <alignment vertical="center"/>
      <protection/>
    </xf>
    <xf numFmtId="3" fontId="30" fillId="0" borderId="13" xfId="60" applyNumberFormat="1" applyFont="1" applyFill="1" applyBorder="1" applyAlignment="1">
      <alignment vertical="center"/>
      <protection/>
    </xf>
    <xf numFmtId="3" fontId="30" fillId="0" borderId="12" xfId="60" applyNumberFormat="1" applyFont="1" applyFill="1" applyBorder="1" applyAlignment="1">
      <alignment horizontal="center" vertical="center"/>
      <protection/>
    </xf>
    <xf numFmtId="0" fontId="30" fillId="0" borderId="12" xfId="60" applyFont="1" applyFill="1" applyBorder="1" applyAlignment="1">
      <alignment horizontal="center" vertical="center"/>
      <protection/>
    </xf>
    <xf numFmtId="3" fontId="30" fillId="0" borderId="0" xfId="60" applyNumberFormat="1" applyFont="1" applyFill="1" applyAlignment="1">
      <alignment horizontal="right" vertical="center"/>
      <protection/>
    </xf>
    <xf numFmtId="0" fontId="26" fillId="0" borderId="0" xfId="0" applyFont="1" applyFill="1" applyAlignment="1">
      <alignment horizontal="right"/>
    </xf>
    <xf numFmtId="9" fontId="26" fillId="0" borderId="28" xfId="71" applyFont="1" applyBorder="1" applyAlignment="1">
      <alignment horizontal="center"/>
    </xf>
    <xf numFmtId="9" fontId="26" fillId="0" borderId="0" xfId="71" applyFont="1" applyBorder="1" applyAlignment="1">
      <alignment horizontal="center"/>
    </xf>
    <xf numFmtId="9" fontId="26" fillId="0" borderId="13" xfId="71" applyFont="1" applyBorder="1" applyAlignment="1">
      <alignment horizontal="center"/>
    </xf>
    <xf numFmtId="9" fontId="29" fillId="0" borderId="13" xfId="71" applyFont="1" applyBorder="1" applyAlignment="1">
      <alignment horizontal="center"/>
    </xf>
    <xf numFmtId="9" fontId="29" fillId="0" borderId="0" xfId="71" applyFont="1" applyBorder="1" applyAlignment="1">
      <alignment horizontal="center"/>
    </xf>
    <xf numFmtId="9" fontId="29" fillId="0" borderId="14" xfId="71" applyFont="1" applyBorder="1" applyAlignment="1">
      <alignment horizontal="center"/>
    </xf>
    <xf numFmtId="0" fontId="35" fillId="0" borderId="36" xfId="0" applyFont="1" applyFill="1" applyBorder="1" applyAlignment="1">
      <alignment/>
    </xf>
    <xf numFmtId="0" fontId="47" fillId="0" borderId="36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2" fillId="0" borderId="0" xfId="63" applyFont="1" applyAlignment="1">
      <alignment/>
      <protection/>
    </xf>
    <xf numFmtId="0" fontId="34" fillId="0" borderId="0" xfId="67" applyFont="1" applyAlignment="1">
      <alignment horizontal="right"/>
      <protection/>
    </xf>
    <xf numFmtId="0" fontId="6" fillId="0" borderId="0" xfId="66" applyNumberFormat="1" applyFont="1" applyFill="1" applyAlignment="1">
      <alignment horizontal="right"/>
      <protection/>
    </xf>
    <xf numFmtId="9" fontId="27" fillId="0" borderId="13" xfId="71" applyFont="1" applyFill="1" applyBorder="1" applyAlignment="1">
      <alignment/>
    </xf>
    <xf numFmtId="200" fontId="37" fillId="11" borderId="13" xfId="42" applyNumberFormat="1" applyFont="1" applyFill="1" applyBorder="1" applyAlignment="1">
      <alignment horizontal="center" vertical="center" wrapText="1"/>
    </xf>
    <xf numFmtId="200" fontId="36" fillId="11" borderId="13" xfId="42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/>
      <protection/>
    </xf>
    <xf numFmtId="0" fontId="16" fillId="0" borderId="0" xfId="63" applyFont="1" applyFill="1" applyBorder="1" applyAlignment="1">
      <alignment horizontal="right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41" xfId="63" applyFont="1" applyFill="1" applyBorder="1" applyAlignment="1">
      <alignment horizontal="center" vertical="center"/>
      <protection/>
    </xf>
    <xf numFmtId="0" fontId="6" fillId="0" borderId="40" xfId="63" applyFont="1" applyFill="1" applyBorder="1" applyAlignment="1">
      <alignment horizontal="center" vertical="center"/>
      <protection/>
    </xf>
    <xf numFmtId="0" fontId="6" fillId="0" borderId="43" xfId="63" applyFont="1" applyFill="1" applyBorder="1" applyAlignment="1">
      <alignment horizontal="center" vertical="center"/>
      <protection/>
    </xf>
    <xf numFmtId="0" fontId="6" fillId="0" borderId="44" xfId="63" applyFont="1" applyFill="1" applyBorder="1" applyAlignment="1">
      <alignment horizontal="center" vertical="center"/>
      <protection/>
    </xf>
    <xf numFmtId="0" fontId="6" fillId="0" borderId="39" xfId="63" applyFont="1" applyFill="1" applyBorder="1" applyAlignment="1">
      <alignment horizontal="center" vertical="center"/>
      <protection/>
    </xf>
    <xf numFmtId="0" fontId="16" fillId="0" borderId="0" xfId="0" applyFont="1" applyBorder="1" applyAlignment="1">
      <alignment horizontal="right"/>
    </xf>
    <xf numFmtId="0" fontId="6" fillId="0" borderId="3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3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35" fillId="0" borderId="36" xfId="0" applyFont="1" applyFill="1" applyBorder="1" applyAlignment="1">
      <alignment horizontal="center"/>
    </xf>
    <xf numFmtId="0" fontId="6" fillId="0" borderId="0" xfId="60" applyFont="1" applyFill="1" applyAlignment="1">
      <alignment horizontal="center" wrapText="1"/>
      <protection/>
    </xf>
    <xf numFmtId="0" fontId="46" fillId="0" borderId="0" xfId="60" applyFont="1" applyFill="1" applyAlignment="1">
      <alignment horizontal="center" wrapText="1"/>
      <protection/>
    </xf>
    <xf numFmtId="3" fontId="16" fillId="0" borderId="36" xfId="60" applyNumberFormat="1" applyFont="1" applyFill="1" applyBorder="1" applyAlignment="1">
      <alignment horizontal="center" vertical="center"/>
      <protection/>
    </xf>
    <xf numFmtId="3" fontId="31" fillId="0" borderId="39" xfId="60" applyNumberFormat="1" applyFont="1" applyFill="1" applyBorder="1" applyAlignment="1">
      <alignment horizontal="center" vertical="center" wrapText="1"/>
      <protection/>
    </xf>
    <xf numFmtId="3" fontId="31" fillId="0" borderId="10" xfId="60" applyNumberFormat="1" applyFont="1" applyFill="1" applyBorder="1" applyAlignment="1">
      <alignment horizontal="center" vertical="center" wrapText="1"/>
      <protection/>
    </xf>
    <xf numFmtId="3" fontId="31" fillId="0" borderId="12" xfId="60" applyNumberFormat="1" applyFont="1" applyFill="1" applyBorder="1" applyAlignment="1">
      <alignment horizontal="center" vertical="center" wrapText="1"/>
      <protection/>
    </xf>
    <xf numFmtId="3" fontId="31" fillId="0" borderId="15" xfId="60" applyNumberFormat="1" applyFont="1" applyFill="1" applyBorder="1" applyAlignment="1">
      <alignment horizontal="center" vertical="center" wrapText="1"/>
      <protection/>
    </xf>
    <xf numFmtId="3" fontId="16" fillId="0" borderId="36" xfId="60" applyNumberFormat="1" applyFont="1" applyFill="1" applyBorder="1" applyAlignment="1">
      <alignment horizontal="right" vertical="center"/>
      <protection/>
    </xf>
    <xf numFmtId="0" fontId="31" fillId="24" borderId="12" xfId="60" applyFont="1" applyFill="1" applyBorder="1" applyAlignment="1">
      <alignment horizontal="center" vertical="center"/>
      <protection/>
    </xf>
    <xf numFmtId="3" fontId="31" fillId="24" borderId="12" xfId="60" applyNumberFormat="1" applyFont="1" applyFill="1" applyBorder="1" applyAlignment="1">
      <alignment horizontal="center" vertical="center" wrapText="1"/>
      <protection/>
    </xf>
    <xf numFmtId="3" fontId="31" fillId="24" borderId="37" xfId="60" applyNumberFormat="1" applyFont="1" applyFill="1" applyBorder="1" applyAlignment="1">
      <alignment horizontal="center" vertical="center" wrapText="1"/>
      <protection/>
    </xf>
    <xf numFmtId="3" fontId="31" fillId="24" borderId="45" xfId="60" applyNumberFormat="1" applyFont="1" applyFill="1" applyBorder="1" applyAlignment="1">
      <alignment horizontal="center" vertical="center" wrapText="1"/>
      <protection/>
    </xf>
    <xf numFmtId="3" fontId="31" fillId="24" borderId="11" xfId="60" applyNumberFormat="1" applyFont="1" applyFill="1" applyBorder="1" applyAlignment="1">
      <alignment horizontal="center" vertical="center" wrapText="1"/>
      <protection/>
    </xf>
    <xf numFmtId="0" fontId="31" fillId="0" borderId="12" xfId="60" applyFont="1" applyFill="1" applyBorder="1" applyAlignment="1">
      <alignment horizontal="center" vertical="center"/>
      <protection/>
    </xf>
    <xf numFmtId="3" fontId="31" fillId="0" borderId="35" xfId="60" applyNumberFormat="1" applyFont="1" applyFill="1" applyBorder="1" applyAlignment="1">
      <alignment horizontal="center" vertical="center" wrapText="1"/>
      <protection/>
    </xf>
    <xf numFmtId="3" fontId="31" fillId="0" borderId="13" xfId="60" applyNumberFormat="1" applyFont="1" applyFill="1" applyBorder="1" applyAlignment="1">
      <alignment horizontal="center" vertical="center" wrapText="1"/>
      <protection/>
    </xf>
    <xf numFmtId="3" fontId="31" fillId="0" borderId="14" xfId="60" applyNumberFormat="1" applyFont="1" applyFill="1" applyBorder="1" applyAlignment="1">
      <alignment horizontal="center" vertical="center" wrapText="1"/>
      <protection/>
    </xf>
    <xf numFmtId="9" fontId="65" fillId="0" borderId="39" xfId="60" applyNumberFormat="1" applyFont="1" applyFill="1" applyBorder="1" applyAlignment="1">
      <alignment horizontal="center" vertical="center" wrapText="1"/>
      <protection/>
    </xf>
    <xf numFmtId="9" fontId="65" fillId="0" borderId="15" xfId="60" applyNumberFormat="1" applyFont="1" applyFill="1" applyBorder="1" applyAlignment="1">
      <alignment horizontal="center" vertical="center" wrapText="1"/>
      <protection/>
    </xf>
    <xf numFmtId="9" fontId="65" fillId="0" borderId="10" xfId="60" applyNumberFormat="1" applyFont="1" applyFill="1" applyBorder="1" applyAlignment="1">
      <alignment horizontal="center" vertical="center" wrapText="1"/>
      <protection/>
    </xf>
    <xf numFmtId="0" fontId="31" fillId="24" borderId="37" xfId="60" applyFont="1" applyFill="1" applyBorder="1" applyAlignment="1">
      <alignment horizontal="center" vertical="center"/>
      <protection/>
    </xf>
    <xf numFmtId="0" fontId="31" fillId="24" borderId="45" xfId="60" applyFont="1" applyFill="1" applyBorder="1" applyAlignment="1">
      <alignment horizontal="center" vertical="center"/>
      <protection/>
    </xf>
    <xf numFmtId="3" fontId="31" fillId="0" borderId="37" xfId="60" applyNumberFormat="1" applyFont="1" applyFill="1" applyBorder="1" applyAlignment="1">
      <alignment horizontal="center" vertical="center" wrapText="1"/>
      <protection/>
    </xf>
    <xf numFmtId="3" fontId="31" fillId="0" borderId="45" xfId="60" applyNumberFormat="1" applyFont="1" applyFill="1" applyBorder="1" applyAlignment="1">
      <alignment horizontal="center" vertical="center" wrapText="1"/>
      <protection/>
    </xf>
    <xf numFmtId="3" fontId="31" fillId="0" borderId="43" xfId="60" applyNumberFormat="1" applyFont="1" applyFill="1" applyBorder="1" applyAlignment="1">
      <alignment horizontal="center" vertical="center" wrapText="1"/>
      <protection/>
    </xf>
    <xf numFmtId="3" fontId="31" fillId="0" borderId="36" xfId="60" applyNumberFormat="1" applyFont="1" applyFill="1" applyBorder="1" applyAlignment="1">
      <alignment horizontal="center" vertical="center" wrapText="1"/>
      <protection/>
    </xf>
    <xf numFmtId="3" fontId="31" fillId="0" borderId="44" xfId="60" applyNumberFormat="1" applyFont="1" applyFill="1" applyBorder="1" applyAlignment="1">
      <alignment horizontal="center" vertical="center" wrapText="1"/>
      <protection/>
    </xf>
    <xf numFmtId="3" fontId="65" fillId="0" borderId="41" xfId="60" applyNumberFormat="1" applyFont="1" applyFill="1" applyBorder="1" applyAlignment="1">
      <alignment horizontal="center" vertical="center" wrapText="1"/>
      <protection/>
    </xf>
    <xf numFmtId="3" fontId="65" fillId="0" borderId="46" xfId="60" applyNumberFormat="1" applyFont="1" applyFill="1" applyBorder="1" applyAlignment="1">
      <alignment horizontal="center" vertical="center" wrapText="1"/>
      <protection/>
    </xf>
    <xf numFmtId="3" fontId="65" fillId="0" borderId="43" xfId="60" applyNumberFormat="1" applyFont="1" applyFill="1" applyBorder="1" applyAlignment="1">
      <alignment horizontal="center" vertical="center" wrapText="1"/>
      <protection/>
    </xf>
    <xf numFmtId="3" fontId="65" fillId="0" borderId="39" xfId="60" applyNumberFormat="1" applyFont="1" applyFill="1" applyBorder="1" applyAlignment="1">
      <alignment horizontal="center" vertical="center" wrapText="1"/>
      <protection/>
    </xf>
    <xf numFmtId="3" fontId="65" fillId="0" borderId="15" xfId="60" applyNumberFormat="1" applyFont="1" applyFill="1" applyBorder="1" applyAlignment="1">
      <alignment horizontal="center" vertical="center" wrapText="1"/>
      <protection/>
    </xf>
    <xf numFmtId="3" fontId="65" fillId="0" borderId="10" xfId="60" applyNumberFormat="1" applyFont="1" applyFill="1" applyBorder="1" applyAlignment="1">
      <alignment horizontal="center" vertical="center" wrapText="1"/>
      <protection/>
    </xf>
    <xf numFmtId="3" fontId="31" fillId="0" borderId="40" xfId="60" applyNumberFormat="1" applyFont="1" applyFill="1" applyBorder="1" applyAlignment="1">
      <alignment horizontal="center" vertical="center" wrapText="1"/>
      <protection/>
    </xf>
    <xf numFmtId="3" fontId="31" fillId="0" borderId="47" xfId="60" applyNumberFormat="1" applyFont="1" applyFill="1" applyBorder="1" applyAlignment="1">
      <alignment horizontal="center" vertical="center" wrapText="1"/>
      <protection/>
    </xf>
    <xf numFmtId="9" fontId="65" fillId="0" borderId="12" xfId="60" applyNumberFormat="1" applyFont="1" applyFill="1" applyBorder="1" applyAlignment="1">
      <alignment horizontal="center" vertical="center" wrapText="1"/>
      <protection/>
    </xf>
    <xf numFmtId="3" fontId="31" fillId="24" borderId="43" xfId="60" applyNumberFormat="1" applyFont="1" applyFill="1" applyBorder="1" applyAlignment="1">
      <alignment horizontal="center" vertical="center" wrapText="1"/>
      <protection/>
    </xf>
    <xf numFmtId="3" fontId="31" fillId="24" borderId="36" xfId="60" applyNumberFormat="1" applyFont="1" applyFill="1" applyBorder="1" applyAlignment="1">
      <alignment horizontal="center" vertical="center" wrapText="1"/>
      <protection/>
    </xf>
    <xf numFmtId="3" fontId="31" fillId="24" borderId="44" xfId="60" applyNumberFormat="1" applyFont="1" applyFill="1" applyBorder="1" applyAlignment="1">
      <alignment horizontal="center" vertical="center" wrapText="1"/>
      <protection/>
    </xf>
    <xf numFmtId="3" fontId="66" fillId="0" borderId="39" xfId="60" applyNumberFormat="1" applyFont="1" applyFill="1" applyBorder="1" applyAlignment="1">
      <alignment horizontal="center" vertical="center" wrapText="1"/>
      <protection/>
    </xf>
    <xf numFmtId="3" fontId="66" fillId="0" borderId="15" xfId="60" applyNumberFormat="1" applyFont="1" applyFill="1" applyBorder="1" applyAlignment="1">
      <alignment horizontal="center" vertical="center" wrapText="1"/>
      <protection/>
    </xf>
    <xf numFmtId="3" fontId="66" fillId="0" borderId="10" xfId="60" applyNumberFormat="1" applyFont="1" applyFill="1" applyBorder="1" applyAlignment="1">
      <alignment horizontal="center" vertical="center" wrapText="1"/>
      <protection/>
    </xf>
    <xf numFmtId="0" fontId="31" fillId="24" borderId="12" xfId="60" applyFont="1" applyFill="1" applyBorder="1" applyAlignment="1">
      <alignment horizontal="center" vertical="center" wrapText="1"/>
      <protection/>
    </xf>
    <xf numFmtId="3" fontId="65" fillId="0" borderId="12" xfId="60" applyNumberFormat="1" applyFont="1" applyFill="1" applyBorder="1" applyAlignment="1">
      <alignment horizontal="center" vertical="center" wrapText="1"/>
      <protection/>
    </xf>
    <xf numFmtId="0" fontId="65" fillId="0" borderId="39" xfId="60" applyFont="1" applyFill="1" applyBorder="1" applyAlignment="1">
      <alignment horizontal="center" vertical="center"/>
      <protection/>
    </xf>
    <xf numFmtId="0" fontId="65" fillId="0" borderId="15" xfId="60" applyFont="1" applyFill="1" applyBorder="1" applyAlignment="1">
      <alignment horizontal="center" vertical="center"/>
      <protection/>
    </xf>
    <xf numFmtId="0" fontId="65" fillId="0" borderId="10" xfId="60" applyFont="1" applyFill="1" applyBorder="1" applyAlignment="1">
      <alignment horizontal="center" vertical="center"/>
      <protection/>
    </xf>
    <xf numFmtId="3" fontId="31" fillId="0" borderId="11" xfId="60" applyNumberFormat="1" applyFont="1" applyFill="1" applyBorder="1" applyAlignment="1">
      <alignment horizontal="center" vertical="center" wrapText="1"/>
      <protection/>
    </xf>
    <xf numFmtId="0" fontId="31" fillId="0" borderId="37" xfId="60" applyFont="1" applyFill="1" applyBorder="1" applyAlignment="1">
      <alignment horizontal="center" vertical="center"/>
      <protection/>
    </xf>
    <xf numFmtId="0" fontId="31" fillId="0" borderId="45" xfId="60" applyFont="1" applyFill="1" applyBorder="1" applyAlignment="1">
      <alignment horizontal="center" vertical="center"/>
      <protection/>
    </xf>
    <xf numFmtId="0" fontId="31" fillId="0" borderId="11" xfId="60" applyFont="1" applyFill="1" applyBorder="1" applyAlignment="1">
      <alignment horizontal="center" vertical="center"/>
      <protection/>
    </xf>
    <xf numFmtId="3" fontId="31" fillId="24" borderId="37" xfId="60" applyNumberFormat="1" applyFont="1" applyFill="1" applyBorder="1" applyAlignment="1">
      <alignment horizontal="center" vertical="center"/>
      <protection/>
    </xf>
    <xf numFmtId="3" fontId="31" fillId="24" borderId="45" xfId="60" applyNumberFormat="1" applyFont="1" applyFill="1" applyBorder="1" applyAlignment="1">
      <alignment horizontal="center" vertical="center"/>
      <protection/>
    </xf>
    <xf numFmtId="3" fontId="31" fillId="24" borderId="11" xfId="60" applyNumberFormat="1" applyFont="1" applyFill="1" applyBorder="1" applyAlignment="1">
      <alignment horizontal="center" vertical="center"/>
      <protection/>
    </xf>
    <xf numFmtId="0" fontId="31" fillId="24" borderId="37" xfId="60" applyFont="1" applyFill="1" applyBorder="1" applyAlignment="1">
      <alignment horizontal="center" vertical="center" wrapText="1"/>
      <protection/>
    </xf>
    <xf numFmtId="0" fontId="31" fillId="24" borderId="45" xfId="60" applyFont="1" applyFill="1" applyBorder="1" applyAlignment="1">
      <alignment horizontal="center" vertical="center" wrapText="1"/>
      <protection/>
    </xf>
    <xf numFmtId="0" fontId="31" fillId="24" borderId="11" xfId="60" applyFont="1" applyFill="1" applyBorder="1" applyAlignment="1">
      <alignment horizontal="center" vertical="center" wrapText="1"/>
      <protection/>
    </xf>
    <xf numFmtId="0" fontId="66" fillId="0" borderId="39" xfId="60" applyFont="1" applyFill="1" applyBorder="1" applyAlignment="1">
      <alignment horizontal="center" vertical="center" wrapText="1"/>
      <protection/>
    </xf>
    <xf numFmtId="0" fontId="66" fillId="0" borderId="15" xfId="60" applyFont="1" applyFill="1" applyBorder="1" applyAlignment="1">
      <alignment horizontal="center" vertical="center" wrapText="1"/>
      <protection/>
    </xf>
    <xf numFmtId="0" fontId="66" fillId="0" borderId="10" xfId="60" applyFont="1" applyFill="1" applyBorder="1" applyAlignment="1">
      <alignment horizontal="center" vertical="center" wrapText="1"/>
      <protection/>
    </xf>
    <xf numFmtId="3" fontId="31" fillId="24" borderId="12" xfId="60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65" fillId="0" borderId="12" xfId="60" applyFont="1" applyFill="1" applyBorder="1" applyAlignment="1">
      <alignment horizontal="center" vertical="center" wrapText="1"/>
      <protection/>
    </xf>
    <xf numFmtId="3" fontId="30" fillId="0" borderId="39" xfId="60" applyNumberFormat="1" applyFont="1" applyFill="1" applyBorder="1" applyAlignment="1">
      <alignment horizontal="center" vertical="center"/>
      <protection/>
    </xf>
    <xf numFmtId="3" fontId="30" fillId="0" borderId="15" xfId="60" applyNumberFormat="1" applyFont="1" applyFill="1" applyBorder="1" applyAlignment="1">
      <alignment horizontal="center" vertical="center"/>
      <protection/>
    </xf>
    <xf numFmtId="3" fontId="30" fillId="0" borderId="10" xfId="60" applyNumberFormat="1" applyFont="1" applyFill="1" applyBorder="1" applyAlignment="1">
      <alignment horizontal="center" vertical="center"/>
      <protection/>
    </xf>
    <xf numFmtId="0" fontId="26" fillId="0" borderId="37" xfId="60" applyFont="1" applyFill="1" applyBorder="1" applyAlignment="1">
      <alignment horizontal="center" vertical="center" wrapText="1"/>
      <protection/>
    </xf>
    <xf numFmtId="0" fontId="26" fillId="0" borderId="45" xfId="60" applyFont="1" applyFill="1" applyBorder="1" applyAlignment="1">
      <alignment horizontal="center" vertical="center" wrapText="1"/>
      <protection/>
    </xf>
    <xf numFmtId="0" fontId="26" fillId="0" borderId="11" xfId="60" applyFont="1" applyFill="1" applyBorder="1" applyAlignment="1">
      <alignment horizontal="center" vertical="center" wrapText="1"/>
      <protection/>
    </xf>
    <xf numFmtId="3" fontId="30" fillId="0" borderId="0" xfId="60" applyNumberFormat="1" applyFont="1" applyFill="1" applyAlignment="1">
      <alignment horizontal="center" vertical="center"/>
      <protection/>
    </xf>
    <xf numFmtId="0" fontId="26" fillId="0" borderId="0" xfId="0" applyFont="1" applyFill="1" applyAlignment="1">
      <alignment horizontal="right"/>
    </xf>
    <xf numFmtId="3" fontId="26" fillId="0" borderId="37" xfId="60" applyNumberFormat="1" applyFont="1" applyFill="1" applyBorder="1" applyAlignment="1">
      <alignment horizontal="center" vertical="center"/>
      <protection/>
    </xf>
    <xf numFmtId="3" fontId="26" fillId="0" borderId="45" xfId="60" applyNumberFormat="1" applyFont="1" applyFill="1" applyBorder="1" applyAlignment="1">
      <alignment horizontal="center" vertical="center"/>
      <protection/>
    </xf>
    <xf numFmtId="3" fontId="26" fillId="0" borderId="11" xfId="60" applyNumberFormat="1" applyFont="1" applyFill="1" applyBorder="1" applyAlignment="1">
      <alignment horizontal="center" vertical="center"/>
      <protection/>
    </xf>
    <xf numFmtId="3" fontId="26" fillId="0" borderId="12" xfId="60" applyNumberFormat="1" applyFont="1" applyFill="1" applyBorder="1" applyAlignment="1">
      <alignment horizontal="center" vertical="center"/>
      <protection/>
    </xf>
    <xf numFmtId="0" fontId="26" fillId="0" borderId="12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31" fillId="0" borderId="37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31" fillId="0" borderId="39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16" fillId="0" borderId="0" xfId="65" applyNumberFormat="1" applyFont="1" applyFill="1" applyBorder="1" applyAlignment="1">
      <alignment horizontal="center" vertical="center" wrapText="1"/>
    </xf>
    <xf numFmtId="0" fontId="6" fillId="0" borderId="35" xfId="63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6" fillId="0" borderId="28" xfId="63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28" xfId="63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horizontal="center"/>
      <protection/>
    </xf>
    <xf numFmtId="0" fontId="16" fillId="0" borderId="0" xfId="63" applyFont="1" applyFill="1" applyAlignment="1">
      <alignment horizontal="center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27" fillId="0" borderId="37" xfId="63" applyFont="1" applyBorder="1" applyAlignment="1">
      <alignment horizontal="center" vertical="center" wrapText="1"/>
      <protection/>
    </xf>
    <xf numFmtId="0" fontId="27" fillId="0" borderId="11" xfId="63" applyFont="1" applyBorder="1" applyAlignment="1">
      <alignment horizontal="center" vertical="center" wrapText="1"/>
      <protection/>
    </xf>
    <xf numFmtId="0" fontId="27" fillId="0" borderId="12" xfId="63" applyFont="1" applyBorder="1" applyAlignment="1">
      <alignment horizontal="center" vertical="center"/>
      <protection/>
    </xf>
    <xf numFmtId="0" fontId="16" fillId="0" borderId="36" xfId="63" applyFont="1" applyBorder="1" applyAlignment="1">
      <alignment horizontal="center"/>
      <protection/>
    </xf>
    <xf numFmtId="0" fontId="27" fillId="0" borderId="12" xfId="63" applyFont="1" applyBorder="1" applyAlignment="1">
      <alignment horizontal="center" vertical="center" wrapText="1"/>
      <protection/>
    </xf>
    <xf numFmtId="0" fontId="27" fillId="0" borderId="37" xfId="63" applyFont="1" applyBorder="1" applyAlignment="1">
      <alignment horizontal="center" vertical="center"/>
      <protection/>
    </xf>
    <xf numFmtId="0" fontId="27" fillId="0" borderId="45" xfId="63" applyFont="1" applyBorder="1" applyAlignment="1">
      <alignment horizontal="center" vertical="center"/>
      <protection/>
    </xf>
    <xf numFmtId="3" fontId="27" fillId="0" borderId="37" xfId="63" applyNumberFormat="1" applyFont="1" applyBorder="1" applyAlignment="1">
      <alignment horizontal="center" vertical="center"/>
      <protection/>
    </xf>
    <xf numFmtId="3" fontId="27" fillId="0" borderId="45" xfId="63" applyNumberFormat="1" applyFont="1" applyBorder="1" applyAlignment="1">
      <alignment horizontal="center" vertical="center"/>
      <protection/>
    </xf>
    <xf numFmtId="0" fontId="14" fillId="0" borderId="0" xfId="63" applyFont="1" applyAlignment="1">
      <alignment horizontal="center"/>
      <protection/>
    </xf>
    <xf numFmtId="0" fontId="10" fillId="0" borderId="36" xfId="63" applyFont="1" applyBorder="1" applyAlignment="1">
      <alignment horizontal="center"/>
      <protection/>
    </xf>
    <xf numFmtId="0" fontId="16" fillId="0" borderId="36" xfId="63" applyFont="1" applyBorder="1" applyAlignment="1">
      <alignment horizontal="right"/>
      <protection/>
    </xf>
    <xf numFmtId="3" fontId="27" fillId="0" borderId="11" xfId="63" applyNumberFormat="1" applyFont="1" applyBorder="1" applyAlignment="1">
      <alignment horizontal="center" vertical="center"/>
      <protection/>
    </xf>
    <xf numFmtId="0" fontId="27" fillId="0" borderId="39" xfId="63" applyFont="1" applyBorder="1" applyAlignment="1">
      <alignment horizontal="center" vertical="center" wrapText="1"/>
      <protection/>
    </xf>
    <xf numFmtId="0" fontId="27" fillId="0" borderId="15" xfId="63" applyFont="1" applyBorder="1" applyAlignment="1">
      <alignment horizontal="center" vertical="center" wrapText="1"/>
      <protection/>
    </xf>
    <xf numFmtId="0" fontId="27" fillId="0" borderId="10" xfId="63" applyFont="1" applyBorder="1" applyAlignment="1">
      <alignment horizontal="center" vertical="center" wrapText="1"/>
      <protection/>
    </xf>
    <xf numFmtId="0" fontId="12" fillId="0" borderId="0" xfId="63" applyFont="1" applyAlignment="1">
      <alignment horizontal="center"/>
      <protection/>
    </xf>
    <xf numFmtId="3" fontId="27" fillId="0" borderId="12" xfId="63" applyNumberFormat="1" applyFont="1" applyBorder="1" applyAlignment="1">
      <alignment horizontal="center" vertical="center"/>
      <protection/>
    </xf>
    <xf numFmtId="0" fontId="34" fillId="0" borderId="0" xfId="67" applyFont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37" fillId="0" borderId="39" xfId="67" applyFont="1" applyBorder="1" applyAlignment="1">
      <alignment horizontal="center" vertical="center" wrapText="1"/>
      <protection/>
    </xf>
    <xf numFmtId="0" fontId="37" fillId="0" borderId="15" xfId="67" applyFont="1" applyBorder="1" applyAlignment="1">
      <alignment horizontal="center" vertical="center" wrapText="1"/>
      <protection/>
    </xf>
    <xf numFmtId="0" fontId="37" fillId="0" borderId="12" xfId="67" applyFont="1" applyBorder="1" applyAlignment="1">
      <alignment horizontal="center" vertical="center"/>
      <protection/>
    </xf>
    <xf numFmtId="0" fontId="26" fillId="0" borderId="12" xfId="67" applyFont="1" applyBorder="1" applyAlignment="1">
      <alignment horizontal="center" vertical="center" wrapText="1"/>
      <protection/>
    </xf>
    <xf numFmtId="0" fontId="37" fillId="0" borderId="12" xfId="67" applyFont="1" applyBorder="1" applyAlignment="1">
      <alignment horizontal="center" vertical="center" wrapText="1"/>
      <protection/>
    </xf>
    <xf numFmtId="197" fontId="16" fillId="0" borderId="36" xfId="66" applyNumberFormat="1" applyFont="1" applyFill="1" applyBorder="1" applyAlignment="1">
      <alignment horizontal="center" vertical="center"/>
      <protection/>
    </xf>
    <xf numFmtId="0" fontId="8" fillId="0" borderId="0" xfId="66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197" fontId="30" fillId="0" borderId="12" xfId="66" applyNumberFormat="1" applyFont="1" applyFill="1" applyBorder="1" applyAlignment="1" applyProtection="1">
      <alignment horizontal="center" vertical="center" wrapText="1"/>
      <protection/>
    </xf>
    <xf numFmtId="0" fontId="12" fillId="0" borderId="0" xfId="66" applyNumberFormat="1" applyFont="1" applyFill="1" applyAlignment="1">
      <alignment horizont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8" xfId="44"/>
    <cellStyle name="Comma 3 3" xfId="45"/>
    <cellStyle name="Currency" xfId="46"/>
    <cellStyle name="Currency [0]" xfId="47"/>
    <cellStyle name="Explanatory Text" xfId="48"/>
    <cellStyle name="Followed Hyperlink" xfId="49"/>
    <cellStyle name="Good" xfId="50"/>
    <cellStyle name="HAI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1" xfId="60"/>
    <cellStyle name="Normal 11 3" xfId="61"/>
    <cellStyle name="Normal 16" xfId="62"/>
    <cellStyle name="Normal 2" xfId="63"/>
    <cellStyle name="Normal 3" xfId="64"/>
    <cellStyle name="Normal 3 4" xfId="65"/>
    <cellStyle name="Normal 4" xfId="66"/>
    <cellStyle name="Normal 5" xfId="67"/>
    <cellStyle name="Normal_Chi NSTW NSDP 2002 - PL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Nghi%20quyet%20387%20va%20ND%2073\NQ%20387%20hoan%20thien%20trinh%20Bo%20lan%202%20(20042016)\Bieu%2013_PL%20Danh%20gia%20thu%20NSNN%20theo%20sac%20thue_FIXED%20(P&#272;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QTNS%20-%20ND%2031%20-%20BC%20HD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QTNS%20-%20TT%20342%20-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QTNS%20-%20ND%2031%20-%202018%20-%20BC%20HDND%20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QTNS%20-%20TT%20342%20-%202018%20-%20Tuan%20Giao_4.5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LL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ểu 48"/>
      <sheetName val="Biểu 49"/>
      <sheetName val="Biểu 50"/>
      <sheetName val="Biểu 51"/>
      <sheetName val="Biểu 52"/>
      <sheetName val="Biểu 53-H+X"/>
      <sheetName val="Biểu 54"/>
      <sheetName val="Biểu 55"/>
      <sheetName val="Biểu 56"/>
      <sheetName val="Biểu 57"/>
      <sheetName val="Biểu 58-xã"/>
      <sheetName val="Biểu 59-xã"/>
      <sheetName val="Biểu 60-xã"/>
      <sheetName val="Biểu 61- H+X"/>
      <sheetName val="Biểu 62-ĐTư"/>
      <sheetName val="Biểu 63 - H+X"/>
      <sheetName val="Biểu 64"/>
    </sheetNames>
    <sheetDataSet>
      <sheetData sheetId="0">
        <row r="3">
          <cell r="A3" t="str">
            <v>(Kèm theo Nghị quyết số          /NQ-HĐND ngày         /      /2019 của HĐND huyện Tuần Giáo)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QT (H+X)"/>
      <sheetName val="60"/>
      <sheetName val="61"/>
      <sheetName val="62 (H+X)"/>
      <sheetName val="63"/>
      <sheetName val="64"/>
      <sheetName val="65"/>
      <sheetName val="66 (H+X)"/>
      <sheetName val="67 (H+X)"/>
      <sheetName val="68 (H+X)"/>
      <sheetName val="69"/>
      <sheetName val="70 (H+X)"/>
    </sheetNames>
    <sheetDataSet>
      <sheetData sheetId="2">
        <row r="8">
          <cell r="E8">
            <v>61514689509</v>
          </cell>
        </row>
        <row r="14">
          <cell r="E14">
            <v>25737772735</v>
          </cell>
        </row>
        <row r="18">
          <cell r="E18">
            <v>4850182227</v>
          </cell>
        </row>
        <row r="19">
          <cell r="E19">
            <v>95825811</v>
          </cell>
        </row>
        <row r="20">
          <cell r="E20">
            <v>1745919552</v>
          </cell>
        </row>
        <row r="21">
          <cell r="E21">
            <v>1843557353</v>
          </cell>
        </row>
        <row r="27">
          <cell r="E27">
            <v>24608372600</v>
          </cell>
        </row>
        <row r="32">
          <cell r="E32">
            <v>30000000</v>
          </cell>
        </row>
        <row r="33">
          <cell r="E33">
            <v>2090658988</v>
          </cell>
        </row>
        <row r="34">
          <cell r="E34">
            <v>919858183</v>
          </cell>
        </row>
        <row r="37">
          <cell r="E37">
            <v>1170800805</v>
          </cell>
        </row>
        <row r="43">
          <cell r="E43">
            <v>174500000</v>
          </cell>
        </row>
        <row r="44">
          <cell r="E44">
            <v>131011600</v>
          </cell>
        </row>
        <row r="49">
          <cell r="E49">
            <v>155891898262</v>
          </cell>
        </row>
        <row r="51">
          <cell r="E51">
            <v>6283457625</v>
          </cell>
        </row>
        <row r="52">
          <cell r="E52">
            <v>50541555153</v>
          </cell>
        </row>
        <row r="53">
          <cell r="E53">
            <v>128333703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ểu 48"/>
      <sheetName val="Biểu 49"/>
      <sheetName val="Biểu 50"/>
      <sheetName val="Biểu 51"/>
      <sheetName val="Biểu 52"/>
      <sheetName val="Biểu 53-H+X"/>
      <sheetName val="Biểu 54"/>
      <sheetName val="Biểu 55"/>
      <sheetName val="Biểu 56"/>
      <sheetName val="Biểu 57"/>
      <sheetName val="Biểu 58-xã"/>
      <sheetName val="Biểu 59-xã"/>
      <sheetName val="Biểu 60-xã"/>
      <sheetName val="Biểu 61- H+X"/>
      <sheetName val="Biểu 62-ĐTư"/>
      <sheetName val="Biểu 63 - H+X"/>
      <sheetName val="Biểu 64"/>
    </sheetNames>
    <sheetDataSet>
      <sheetData sheetId="0">
        <row r="3">
          <cell r="A3" t="str">
            <v>(Kèm theo Nghị quyết số          /NQ-HĐND ngày         /      /2019 của HĐND huyện Tuần Giáo)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QT (H+X)"/>
      <sheetName val="60"/>
      <sheetName val="61"/>
      <sheetName val="62 (H+X)"/>
      <sheetName val="63"/>
      <sheetName val="64"/>
      <sheetName val="65"/>
      <sheetName val="66 (H+X)"/>
      <sheetName val="67 (H+X)"/>
      <sheetName val="68 (H+X)"/>
      <sheetName val="69"/>
      <sheetName val="70 (H+X)"/>
    </sheetNames>
    <sheetDataSet>
      <sheetData sheetId="2">
        <row r="7">
          <cell r="E7">
            <v>900632453171</v>
          </cell>
          <cell r="H7">
            <v>757606985902</v>
          </cell>
          <cell r="I7">
            <v>134093120127</v>
          </cell>
        </row>
        <row r="45">
          <cell r="E45">
            <v>788447874806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0">
      <selection activeCell="K21" sqref="K21"/>
    </sheetView>
  </sheetViews>
  <sheetFormatPr defaultColWidth="8.796875" defaultRowHeight="15"/>
  <cols>
    <col min="1" max="1" width="5.09765625" style="4" customWidth="1"/>
    <col min="2" max="2" width="36.69921875" style="4" customWidth="1"/>
    <col min="3" max="3" width="13" style="4" customWidth="1"/>
    <col min="4" max="4" width="12.796875" style="4" customWidth="1"/>
    <col min="5" max="5" width="13.8984375" style="4" customWidth="1"/>
    <col min="6" max="6" width="6.69921875" style="4" customWidth="1"/>
    <col min="7" max="7" width="10" style="4" customWidth="1"/>
    <col min="8" max="8" width="12.3984375" style="517" hidden="1" customWidth="1"/>
    <col min="9" max="16384" width="9" style="4" customWidth="1"/>
  </cols>
  <sheetData>
    <row r="1" spans="1:6" ht="21" customHeight="1">
      <c r="A1" s="1"/>
      <c r="B1" s="1"/>
      <c r="C1" s="2"/>
      <c r="D1" s="3"/>
      <c r="E1" s="3"/>
      <c r="F1" s="100" t="s">
        <v>121</v>
      </c>
    </row>
    <row r="2" spans="1:6" ht="21" customHeight="1">
      <c r="A2" s="3" t="s">
        <v>513</v>
      </c>
      <c r="B2" s="3"/>
      <c r="C2" s="6"/>
      <c r="D2" s="6"/>
      <c r="E2" s="6"/>
      <c r="F2" s="6"/>
    </row>
    <row r="3" spans="1:6" ht="21" customHeight="1">
      <c r="A3" s="246" t="s">
        <v>647</v>
      </c>
      <c r="B3" s="3"/>
      <c r="C3" s="2"/>
      <c r="D3" s="2"/>
      <c r="E3" s="2"/>
      <c r="F3" s="2"/>
    </row>
    <row r="4" spans="1:6" ht="19.5" customHeight="1">
      <c r="A4" s="8"/>
      <c r="B4" s="8"/>
      <c r="C4" s="23"/>
      <c r="D4" s="611" t="s">
        <v>276</v>
      </c>
      <c r="E4" s="611"/>
      <c r="F4" s="611"/>
    </row>
    <row r="5" spans="1:8" s="10" customFormat="1" ht="22.5" customHeight="1">
      <c r="A5" s="612" t="s">
        <v>61</v>
      </c>
      <c r="B5" s="612" t="s">
        <v>137</v>
      </c>
      <c r="C5" s="615" t="s">
        <v>6</v>
      </c>
      <c r="D5" s="615" t="s">
        <v>60</v>
      </c>
      <c r="E5" s="618" t="s">
        <v>62</v>
      </c>
      <c r="F5" s="619"/>
      <c r="H5" s="517"/>
    </row>
    <row r="6" spans="1:8" s="10" customFormat="1" ht="17.25" customHeight="1">
      <c r="A6" s="613"/>
      <c r="B6" s="613" t="s">
        <v>137</v>
      </c>
      <c r="C6" s="616"/>
      <c r="D6" s="616"/>
      <c r="E6" s="615" t="s">
        <v>83</v>
      </c>
      <c r="F6" s="620" t="s">
        <v>163</v>
      </c>
      <c r="H6" s="517"/>
    </row>
    <row r="7" spans="1:8" s="10" customFormat="1" ht="17.25" customHeight="1">
      <c r="A7" s="614"/>
      <c r="B7" s="614"/>
      <c r="C7" s="617"/>
      <c r="D7" s="617"/>
      <c r="E7" s="617"/>
      <c r="F7" s="621"/>
      <c r="H7" s="517"/>
    </row>
    <row r="8" spans="1:8" s="30" customFormat="1" ht="17.25" customHeight="1">
      <c r="A8" s="29" t="s">
        <v>9</v>
      </c>
      <c r="B8" s="28" t="s">
        <v>10</v>
      </c>
      <c r="C8" s="29">
        <v>1</v>
      </c>
      <c r="D8" s="29">
        <f>C8+1</f>
        <v>2</v>
      </c>
      <c r="E8" s="230" t="s">
        <v>84</v>
      </c>
      <c r="F8" s="125" t="s">
        <v>85</v>
      </c>
      <c r="H8" s="517" t="s">
        <v>639</v>
      </c>
    </row>
    <row r="9" spans="1:8" s="9" customFormat="1" ht="30.75" customHeight="1">
      <c r="A9" s="115" t="s">
        <v>9</v>
      </c>
      <c r="B9" s="116" t="s">
        <v>103</v>
      </c>
      <c r="C9" s="106">
        <f>C10+C13+C16+C17+C18</f>
        <v>679098000000</v>
      </c>
      <c r="D9" s="106">
        <f>D10+D13+D16+D17+D18</f>
        <v>770901407767</v>
      </c>
      <c r="E9" s="106">
        <f>E10+E13+E16+E17+E18</f>
        <v>91803407767</v>
      </c>
      <c r="F9" s="232">
        <f>D9/C9</f>
        <v>1.1351843294590767</v>
      </c>
      <c r="H9" s="518">
        <f>D9-'Biểu 50'!F10</f>
        <v>0</v>
      </c>
    </row>
    <row r="10" spans="1:8" s="11" customFormat="1" ht="25.5" customHeight="1">
      <c r="A10" s="118" t="s">
        <v>18</v>
      </c>
      <c r="B10" s="124" t="s">
        <v>56</v>
      </c>
      <c r="C10" s="110">
        <f>C11+C12</f>
        <v>47250000000</v>
      </c>
      <c r="D10" s="110">
        <f>D11+D12</f>
        <v>58156396227</v>
      </c>
      <c r="E10" s="231">
        <f>D10-C10</f>
        <v>10906396227</v>
      </c>
      <c r="F10" s="232">
        <f>D10/C10</f>
        <v>1.2308232005714286</v>
      </c>
      <c r="G10" s="9"/>
      <c r="H10" s="517"/>
    </row>
    <row r="11" spans="1:8" s="9" customFormat="1" ht="25.5" customHeight="1">
      <c r="A11" s="121" t="s">
        <v>15</v>
      </c>
      <c r="B11" s="32" t="s">
        <v>57</v>
      </c>
      <c r="C11" s="99">
        <v>47250000000</v>
      </c>
      <c r="D11" s="99">
        <v>58156396227</v>
      </c>
      <c r="E11" s="109">
        <f aca="true" t="shared" si="0" ref="E11:E29">D11-C11</f>
        <v>10906396227</v>
      </c>
      <c r="F11" s="233">
        <f aca="true" t="shared" si="1" ref="F11:F26">D11/C11</f>
        <v>1.2308232005714286</v>
      </c>
      <c r="H11" s="517"/>
    </row>
    <row r="12" spans="1:8" s="9" customFormat="1" ht="25.5" customHeight="1">
      <c r="A12" s="121" t="s">
        <v>15</v>
      </c>
      <c r="B12" s="32" t="s">
        <v>134</v>
      </c>
      <c r="C12" s="110"/>
      <c r="D12" s="99"/>
      <c r="E12" s="231">
        <f t="shared" si="0"/>
        <v>0</v>
      </c>
      <c r="F12" s="232"/>
      <c r="H12" s="517"/>
    </row>
    <row r="13" spans="1:8" s="11" customFormat="1" ht="25.5" customHeight="1">
      <c r="A13" s="118" t="s">
        <v>19</v>
      </c>
      <c r="B13" s="124" t="s">
        <v>36</v>
      </c>
      <c r="C13" s="110">
        <f>C14+C15</f>
        <v>631848000000</v>
      </c>
      <c r="D13" s="110">
        <f>D14+D15</f>
        <v>661365718919</v>
      </c>
      <c r="E13" s="231">
        <f t="shared" si="0"/>
        <v>29517718919</v>
      </c>
      <c r="F13" s="232">
        <f t="shared" si="1"/>
        <v>1.046716487064927</v>
      </c>
      <c r="G13" s="9"/>
      <c r="H13" s="517"/>
    </row>
    <row r="14" spans="1:8" s="9" customFormat="1" ht="25.5" customHeight="1">
      <c r="A14" s="120">
        <v>1</v>
      </c>
      <c r="B14" s="32" t="s">
        <v>72</v>
      </c>
      <c r="C14" s="99">
        <v>544752000000</v>
      </c>
      <c r="D14" s="99">
        <v>544752000000</v>
      </c>
      <c r="E14" s="231">
        <f t="shared" si="0"/>
        <v>0</v>
      </c>
      <c r="F14" s="233">
        <f t="shared" si="1"/>
        <v>1</v>
      </c>
      <c r="H14" s="517"/>
    </row>
    <row r="15" spans="1:20" s="9" customFormat="1" ht="25.5" customHeight="1">
      <c r="A15" s="120">
        <f>A14+1</f>
        <v>2</v>
      </c>
      <c r="B15" s="32" t="s">
        <v>80</v>
      </c>
      <c r="C15" s="99">
        <v>87096000000</v>
      </c>
      <c r="D15" s="99">
        <f>126730670160-10116951241</f>
        <v>116613718919</v>
      </c>
      <c r="E15" s="109">
        <f t="shared" si="0"/>
        <v>29517718919</v>
      </c>
      <c r="F15" s="233">
        <f t="shared" si="1"/>
        <v>1.3389101556787912</v>
      </c>
      <c r="H15" s="517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8" s="11" customFormat="1" ht="25.5" customHeight="1">
      <c r="A16" s="118" t="s">
        <v>20</v>
      </c>
      <c r="B16" s="124" t="s">
        <v>425</v>
      </c>
      <c r="C16" s="110"/>
      <c r="D16" s="135">
        <f>709403765</f>
        <v>709403765</v>
      </c>
      <c r="E16" s="231">
        <f t="shared" si="0"/>
        <v>709403765</v>
      </c>
      <c r="F16" s="233"/>
      <c r="G16" s="9"/>
      <c r="H16" s="517"/>
    </row>
    <row r="17" spans="1:20" s="25" customFormat="1" ht="25.5" customHeight="1">
      <c r="A17" s="118" t="s">
        <v>21</v>
      </c>
      <c r="B17" s="124" t="s">
        <v>34</v>
      </c>
      <c r="C17" s="111"/>
      <c r="D17" s="110">
        <v>50541555153</v>
      </c>
      <c r="E17" s="231">
        <f t="shared" si="0"/>
        <v>50541555153</v>
      </c>
      <c r="F17" s="232"/>
      <c r="G17" s="9"/>
      <c r="H17" s="517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25" customFormat="1" ht="25.5" customHeight="1">
      <c r="A18" s="118" t="s">
        <v>22</v>
      </c>
      <c r="B18" s="124" t="s">
        <v>68</v>
      </c>
      <c r="C18" s="111"/>
      <c r="D18" s="110">
        <v>128333703</v>
      </c>
      <c r="E18" s="231">
        <f t="shared" si="0"/>
        <v>128333703</v>
      </c>
      <c r="F18" s="232"/>
      <c r="G18" s="9"/>
      <c r="H18" s="517" t="s">
        <v>618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9" customFormat="1" ht="25.5" customHeight="1">
      <c r="A19" s="118" t="s">
        <v>10</v>
      </c>
      <c r="B19" s="124" t="s">
        <v>102</v>
      </c>
      <c r="C19" s="110">
        <f>C20+C24+C28+C27</f>
        <v>679098000000</v>
      </c>
      <c r="D19" s="110">
        <f>D20+D24+D28+D27</f>
        <v>770488774343</v>
      </c>
      <c r="E19" s="110">
        <f>E20+E24+E28+E27</f>
        <v>91390774343</v>
      </c>
      <c r="F19" s="232">
        <f t="shared" si="1"/>
        <v>1.134576709610395</v>
      </c>
      <c r="H19" s="518">
        <f>D19-'Biểu 51'!D9</f>
        <v>0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9" customFormat="1" ht="25.5" customHeight="1">
      <c r="A20" s="118" t="s">
        <v>18</v>
      </c>
      <c r="B20" s="124" t="s">
        <v>58</v>
      </c>
      <c r="C20" s="110">
        <f>SUM(C21:C23)</f>
        <v>592002000000</v>
      </c>
      <c r="D20" s="110">
        <f>SUM(D21:D23)</f>
        <v>608766958247</v>
      </c>
      <c r="E20" s="231">
        <f t="shared" si="0"/>
        <v>16764958247</v>
      </c>
      <c r="F20" s="232">
        <f t="shared" si="1"/>
        <v>1.0283190905554374</v>
      </c>
      <c r="G20" s="128"/>
      <c r="H20" s="517"/>
      <c r="I20" s="11"/>
      <c r="J20" s="11"/>
      <c r="K20" s="11">
        <v>2.55</v>
      </c>
      <c r="L20" s="11"/>
      <c r="M20" s="11"/>
      <c r="N20" s="11"/>
      <c r="O20" s="11"/>
      <c r="P20" s="11"/>
      <c r="Q20" s="11"/>
      <c r="R20" s="11"/>
      <c r="S20" s="11"/>
      <c r="T20" s="11"/>
    </row>
    <row r="21" spans="1:20" s="9" customFormat="1" ht="25.5" customHeight="1">
      <c r="A21" s="120">
        <v>1</v>
      </c>
      <c r="B21" s="32" t="s">
        <v>33</v>
      </c>
      <c r="C21" s="99">
        <v>20400000000</v>
      </c>
      <c r="D21" s="136">
        <v>14050731600</v>
      </c>
      <c r="E21" s="109">
        <f t="shared" si="0"/>
        <v>-6349268400</v>
      </c>
      <c r="F21" s="233">
        <f t="shared" si="1"/>
        <v>0.6887613529411765</v>
      </c>
      <c r="H21" s="518">
        <f>D21-'Biểu 51'!D12</f>
        <v>0</v>
      </c>
      <c r="I21" s="11"/>
      <c r="J21" s="11"/>
      <c r="K21" s="11">
        <f>K20*1390</f>
        <v>3544.4999999999995</v>
      </c>
      <c r="L21" s="11"/>
      <c r="M21" s="11"/>
      <c r="N21" s="11"/>
      <c r="O21" s="11"/>
      <c r="P21" s="11"/>
      <c r="Q21" s="11"/>
      <c r="R21" s="11"/>
      <c r="S21" s="11"/>
      <c r="T21" s="11"/>
    </row>
    <row r="22" spans="1:20" s="9" customFormat="1" ht="25.5" customHeight="1">
      <c r="A22" s="120">
        <f>A21+1</f>
        <v>2</v>
      </c>
      <c r="B22" s="32" t="s">
        <v>27</v>
      </c>
      <c r="C22" s="99">
        <v>560214000000</v>
      </c>
      <c r="D22" s="136">
        <f>594665707728+50518919</f>
        <v>594716226647</v>
      </c>
      <c r="E22" s="109">
        <f t="shared" si="0"/>
        <v>34502226647</v>
      </c>
      <c r="F22" s="233">
        <f t="shared" si="1"/>
        <v>1.0615875837572786</v>
      </c>
      <c r="H22" s="518">
        <f>D22-'Biểu 51'!D18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25.5" customHeight="1">
      <c r="A23" s="120">
        <v>3</v>
      </c>
      <c r="B23" s="32" t="s">
        <v>28</v>
      </c>
      <c r="C23" s="109">
        <v>11388000000</v>
      </c>
      <c r="D23" s="194"/>
      <c r="E23" s="109">
        <f t="shared" si="0"/>
        <v>-11388000000</v>
      </c>
      <c r="F23" s="233">
        <f t="shared" si="1"/>
        <v>0</v>
      </c>
      <c r="G23" s="9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8" s="9" customFormat="1" ht="25.5" customHeight="1">
      <c r="A24" s="118" t="s">
        <v>19</v>
      </c>
      <c r="B24" s="124" t="s">
        <v>104</v>
      </c>
      <c r="C24" s="135">
        <f>C25+C26</f>
        <v>87096000000</v>
      </c>
      <c r="D24" s="135">
        <f>D25+D26</f>
        <v>102022453956</v>
      </c>
      <c r="E24" s="231">
        <f t="shared" si="0"/>
        <v>14926453956</v>
      </c>
      <c r="F24" s="232">
        <f t="shared" si="1"/>
        <v>1.171379328051805</v>
      </c>
      <c r="H24" s="518">
        <f>D24-'Biểu 51'!D24</f>
        <v>0</v>
      </c>
    </row>
    <row r="25" spans="1:8" s="9" customFormat="1" ht="25.5" customHeight="1">
      <c r="A25" s="120">
        <v>1</v>
      </c>
      <c r="B25" s="32" t="s">
        <v>105</v>
      </c>
      <c r="C25" s="99">
        <v>73223000000</v>
      </c>
      <c r="D25" s="136">
        <v>79288479531</v>
      </c>
      <c r="E25" s="109">
        <f>D25-C25</f>
        <v>6065479531</v>
      </c>
      <c r="F25" s="233">
        <f t="shared" si="1"/>
        <v>1.082835714611529</v>
      </c>
      <c r="H25" s="517"/>
    </row>
    <row r="26" spans="1:8" s="9" customFormat="1" ht="25.5" customHeight="1">
      <c r="A26" s="120">
        <f>A25+1</f>
        <v>2</v>
      </c>
      <c r="B26" s="32" t="s">
        <v>106</v>
      </c>
      <c r="C26" s="99">
        <v>13873000000</v>
      </c>
      <c r="D26" s="136">
        <f>32901444585-10167470160</f>
        <v>22733974425</v>
      </c>
      <c r="E26" s="109">
        <f>D26-C26</f>
        <v>8860974425</v>
      </c>
      <c r="F26" s="233">
        <f t="shared" si="1"/>
        <v>1.6387208552584156</v>
      </c>
      <c r="H26" s="517"/>
    </row>
    <row r="27" spans="1:8" s="9" customFormat="1" ht="25.5" customHeight="1">
      <c r="A27" s="234" t="s">
        <v>20</v>
      </c>
      <c r="B27" s="235" t="s">
        <v>365</v>
      </c>
      <c r="C27" s="408"/>
      <c r="D27" s="341">
        <v>6283457625</v>
      </c>
      <c r="E27" s="231">
        <f>D27-C27</f>
        <v>6283457625</v>
      </c>
      <c r="F27" s="233"/>
      <c r="H27" s="518">
        <f>D27-'Biểu 51'!D58</f>
        <v>0</v>
      </c>
    </row>
    <row r="28" spans="1:8" s="9" customFormat="1" ht="25.5" customHeight="1">
      <c r="A28" s="118" t="s">
        <v>21</v>
      </c>
      <c r="B28" s="124" t="s">
        <v>67</v>
      </c>
      <c r="C28" s="110"/>
      <c r="D28" s="135">
        <v>53415904515</v>
      </c>
      <c r="E28" s="231">
        <f t="shared" si="0"/>
        <v>53415904515</v>
      </c>
      <c r="F28" s="233"/>
      <c r="H28" s="518">
        <f>D28-'Biểu 51'!D59</f>
        <v>0</v>
      </c>
    </row>
    <row r="29" spans="1:8" s="144" customFormat="1" ht="25.5" customHeight="1">
      <c r="A29" s="126" t="s">
        <v>23</v>
      </c>
      <c r="B29" s="409" t="s">
        <v>142</v>
      </c>
      <c r="C29" s="301"/>
      <c r="D29" s="277">
        <f>D9-D19</f>
        <v>412633424</v>
      </c>
      <c r="E29" s="410">
        <f t="shared" si="0"/>
        <v>412633424</v>
      </c>
      <c r="F29" s="412"/>
      <c r="H29" s="519"/>
    </row>
  </sheetData>
  <sheetProtection/>
  <mergeCells count="8">
    <mergeCell ref="D4:F4"/>
    <mergeCell ref="A5:A7"/>
    <mergeCell ref="B5:B7"/>
    <mergeCell ref="C5:C7"/>
    <mergeCell ref="D5:D7"/>
    <mergeCell ref="E5:F5"/>
    <mergeCell ref="E6:E7"/>
    <mergeCell ref="F6:F7"/>
  </mergeCells>
  <printOptions/>
  <pageMargins left="0.6" right="0" top="0.86" bottom="0.7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4"/>
  <sheetViews>
    <sheetView zoomScale="120" zoomScaleNormal="120" zoomScalePageLayoutView="0" workbookViewId="0" topLeftCell="A1">
      <pane xSplit="3" ySplit="9" topLeftCell="G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9" sqref="M9"/>
    </sheetView>
  </sheetViews>
  <sheetFormatPr defaultColWidth="8.796875" defaultRowHeight="15"/>
  <cols>
    <col min="1" max="1" width="5.3984375" style="144" customWidth="1"/>
    <col min="2" max="2" width="20.296875" style="144" customWidth="1"/>
    <col min="3" max="3" width="13.3984375" style="144" customWidth="1"/>
    <col min="4" max="4" width="13.09765625" style="144" customWidth="1"/>
    <col min="5" max="5" width="13" style="144" customWidth="1"/>
    <col min="6" max="6" width="12.69921875" style="144" customWidth="1"/>
    <col min="7" max="7" width="11.8984375" style="144" customWidth="1"/>
    <col min="8" max="8" width="12.69921875" style="144" customWidth="1"/>
    <col min="9" max="9" width="11.796875" style="144" customWidth="1"/>
    <col min="10" max="10" width="12" style="144" customWidth="1"/>
    <col min="11" max="11" width="11.8984375" style="144" customWidth="1"/>
    <col min="12" max="12" width="13.8984375" style="144" hidden="1" customWidth="1"/>
    <col min="13" max="13" width="11.09765625" style="144" customWidth="1"/>
    <col min="14" max="14" width="10.8984375" style="144" customWidth="1"/>
    <col min="15" max="15" width="9.8984375" style="144" customWidth="1"/>
    <col min="16" max="16" width="12.3984375" style="144" customWidth="1"/>
    <col min="17" max="17" width="14" style="271" customWidth="1"/>
    <col min="18" max="18" width="12.19921875" style="271" customWidth="1"/>
    <col min="19" max="19" width="7.296875" style="271" customWidth="1"/>
    <col min="20" max="20" width="13.09765625" style="184" customWidth="1"/>
    <col min="21" max="21" width="13.3984375" style="144" customWidth="1"/>
    <col min="22" max="16384" width="9" style="144" customWidth="1"/>
  </cols>
  <sheetData>
    <row r="1" spans="1:11" ht="18" customHeight="1">
      <c r="A1" s="152"/>
      <c r="B1" s="152"/>
      <c r="C1" s="153"/>
      <c r="D1" s="153"/>
      <c r="E1" s="153"/>
      <c r="F1" s="153"/>
      <c r="G1" s="153"/>
      <c r="H1" s="153"/>
      <c r="I1" s="154"/>
      <c r="J1" s="727" t="s">
        <v>282</v>
      </c>
      <c r="K1" s="727"/>
    </row>
    <row r="2" spans="1:20" s="22" customFormat="1" ht="19.5" customHeight="1">
      <c r="A2" s="385" t="s">
        <v>319</v>
      </c>
      <c r="B2" s="385"/>
      <c r="C2" s="215"/>
      <c r="D2" s="215"/>
      <c r="E2" s="215"/>
      <c r="F2" s="215"/>
      <c r="G2" s="215"/>
      <c r="H2" s="215"/>
      <c r="I2" s="215"/>
      <c r="J2" s="140"/>
      <c r="K2" s="140"/>
      <c r="L2" s="143" t="s">
        <v>584</v>
      </c>
      <c r="M2" s="143"/>
      <c r="N2" s="143"/>
      <c r="O2" s="143"/>
      <c r="P2" s="143"/>
      <c r="Q2" s="271"/>
      <c r="R2" s="271"/>
      <c r="S2" s="271"/>
      <c r="T2" s="183"/>
    </row>
    <row r="3" spans="1:20" s="22" customFormat="1" ht="19.5" customHeight="1">
      <c r="A3" s="385" t="s">
        <v>546</v>
      </c>
      <c r="B3" s="385"/>
      <c r="C3" s="215"/>
      <c r="D3" s="215"/>
      <c r="E3" s="215"/>
      <c r="F3" s="215"/>
      <c r="G3" s="215"/>
      <c r="H3" s="215"/>
      <c r="I3" s="215"/>
      <c r="J3" s="140"/>
      <c r="K3" s="140"/>
      <c r="Q3" s="271"/>
      <c r="R3" s="271"/>
      <c r="S3" s="271"/>
      <c r="T3" s="183"/>
    </row>
    <row r="4" spans="1:20" s="22" customFormat="1" ht="18" customHeight="1">
      <c r="A4" s="248" t="str">
        <f>'Biểu 48'!A3</f>
        <v>(Kèm theo Nghị quyết số          /2019/NQ-HĐND ngày         /      /2019 của HĐND huyện Tuần Giáo)</v>
      </c>
      <c r="B4" s="386"/>
      <c r="C4" s="140"/>
      <c r="D4" s="140"/>
      <c r="E4" s="140"/>
      <c r="F4" s="140"/>
      <c r="G4" s="140"/>
      <c r="H4" s="140"/>
      <c r="I4" s="140"/>
      <c r="J4" s="140"/>
      <c r="K4" s="140"/>
      <c r="Q4" s="271"/>
      <c r="R4" s="271"/>
      <c r="S4" s="271"/>
      <c r="T4" s="183"/>
    </row>
    <row r="5" spans="1:11" ht="17.25" customHeight="1">
      <c r="A5" s="157"/>
      <c r="B5" s="387"/>
      <c r="C5" s="271"/>
      <c r="D5" s="271">
        <f>'Biểu 54'!CD14</f>
        <v>9473434060</v>
      </c>
      <c r="F5" s="389"/>
      <c r="G5" s="388"/>
      <c r="H5" s="390"/>
      <c r="I5" s="390"/>
      <c r="J5" s="728" t="s">
        <v>276</v>
      </c>
      <c r="K5" s="728"/>
    </row>
    <row r="6" spans="1:20" s="143" customFormat="1" ht="13.5" customHeight="1">
      <c r="A6" s="595" t="s">
        <v>2</v>
      </c>
      <c r="B6" s="636" t="s">
        <v>30</v>
      </c>
      <c r="C6" s="729" t="s">
        <v>283</v>
      </c>
      <c r="D6" s="729" t="s">
        <v>37</v>
      </c>
      <c r="E6" s="729"/>
      <c r="F6" s="729"/>
      <c r="G6" s="729"/>
      <c r="H6" s="729" t="s">
        <v>284</v>
      </c>
      <c r="I6" s="729" t="s">
        <v>285</v>
      </c>
      <c r="J6" s="729" t="s">
        <v>31</v>
      </c>
      <c r="K6" s="729"/>
      <c r="L6" s="184">
        <f>C9-'Biểu 54'!C14</f>
        <v>0</v>
      </c>
      <c r="M6" s="184"/>
      <c r="N6" s="184"/>
      <c r="O6" s="184"/>
      <c r="P6" s="184"/>
      <c r="Q6" s="271"/>
      <c r="R6" s="271"/>
      <c r="S6" s="271"/>
      <c r="T6" s="271"/>
    </row>
    <row r="7" spans="1:20" s="143" customFormat="1" ht="30" customHeight="1">
      <c r="A7" s="596"/>
      <c r="B7" s="636"/>
      <c r="C7" s="729"/>
      <c r="D7" s="214" t="s">
        <v>286</v>
      </c>
      <c r="E7" s="214" t="s">
        <v>219</v>
      </c>
      <c r="F7" s="214" t="s">
        <v>373</v>
      </c>
      <c r="G7" s="214" t="s">
        <v>374</v>
      </c>
      <c r="H7" s="729"/>
      <c r="I7" s="729"/>
      <c r="J7" s="214" t="s">
        <v>287</v>
      </c>
      <c r="K7" s="214" t="s">
        <v>288</v>
      </c>
      <c r="L7" s="184">
        <f>'Biểu 56'!D10-'Biểu 57'!H9-'Biểu 57'!J9</f>
        <v>0</v>
      </c>
      <c r="M7" s="184"/>
      <c r="N7" s="184"/>
      <c r="O7" s="184"/>
      <c r="P7" s="184"/>
      <c r="Q7" s="271"/>
      <c r="R7" s="271"/>
      <c r="S7" s="271"/>
      <c r="T7" s="271"/>
    </row>
    <row r="8" spans="1:20" s="391" customFormat="1" ht="12.75" customHeight="1">
      <c r="A8" s="114" t="s">
        <v>9</v>
      </c>
      <c r="B8" s="114" t="s">
        <v>10</v>
      </c>
      <c r="C8" s="114" t="s">
        <v>428</v>
      </c>
      <c r="D8" s="357">
        <v>2</v>
      </c>
      <c r="E8" s="357">
        <v>3</v>
      </c>
      <c r="F8" s="357">
        <v>4</v>
      </c>
      <c r="G8" s="357">
        <v>5</v>
      </c>
      <c r="H8" s="357">
        <v>6</v>
      </c>
      <c r="I8" s="114" t="s">
        <v>375</v>
      </c>
      <c r="J8" s="357">
        <v>8</v>
      </c>
      <c r="K8" s="114">
        <v>9</v>
      </c>
      <c r="L8" s="402">
        <f>J9-'Biểu 56'!V10</f>
        <v>0</v>
      </c>
      <c r="M8" s="402"/>
      <c r="N8" s="402"/>
      <c r="O8" s="402"/>
      <c r="P8" s="402"/>
      <c r="Q8" s="271"/>
      <c r="R8" s="271"/>
      <c r="S8" s="271"/>
      <c r="T8" s="287"/>
    </row>
    <row r="9" spans="1:20" s="272" customFormat="1" ht="18.75" customHeight="1">
      <c r="A9" s="285"/>
      <c r="B9" s="286" t="s">
        <v>29</v>
      </c>
      <c r="C9" s="141">
        <f>SUM(C10,C37,C38,C44)</f>
        <v>550178739581</v>
      </c>
      <c r="D9" s="141">
        <f>SUM(D10,D37,D38,D44)</f>
        <v>502709000000</v>
      </c>
      <c r="E9" s="141">
        <f aca="true" t="shared" si="0" ref="E9:J9">SUM(E10,E37,E38,E44)</f>
        <v>27760141954</v>
      </c>
      <c r="F9" s="141">
        <f t="shared" si="0"/>
        <v>47424691305</v>
      </c>
      <c r="G9" s="141">
        <f t="shared" si="0"/>
        <v>-17925093678</v>
      </c>
      <c r="H9" s="141">
        <f t="shared" si="0"/>
        <v>522665824029</v>
      </c>
      <c r="I9" s="141">
        <f t="shared" si="0"/>
        <v>27512915552</v>
      </c>
      <c r="J9" s="141">
        <f t="shared" si="0"/>
        <v>27126880928</v>
      </c>
      <c r="K9" s="141">
        <f>SUM(K10,K37,K38,K44)</f>
        <v>386034624</v>
      </c>
      <c r="L9" s="184">
        <f>K9-'Biểu 54'!CS107</f>
        <v>0</v>
      </c>
      <c r="M9" s="184">
        <v>271118963</v>
      </c>
      <c r="N9" s="184">
        <f>K9-M9</f>
        <v>114915661</v>
      </c>
      <c r="O9" s="184"/>
      <c r="P9" s="184"/>
      <c r="Q9" s="271"/>
      <c r="R9" s="271"/>
      <c r="S9" s="271"/>
      <c r="T9" s="271" t="s">
        <v>585</v>
      </c>
    </row>
    <row r="10" spans="1:21" s="272" customFormat="1" ht="18" customHeight="1">
      <c r="A10" s="285" t="s">
        <v>18</v>
      </c>
      <c r="B10" s="286" t="s">
        <v>27</v>
      </c>
      <c r="C10" s="135">
        <f>SUM(C11:C36)</f>
        <v>537634699592</v>
      </c>
      <c r="D10" s="135">
        <f>SUM(D11:D36)</f>
        <v>479265000000</v>
      </c>
      <c r="E10" s="135">
        <f aca="true" t="shared" si="1" ref="E10:K10">SUM(E11:E36)</f>
        <v>17504408103</v>
      </c>
      <c r="F10" s="135">
        <f t="shared" si="1"/>
        <v>43304823667</v>
      </c>
      <c r="G10" s="135">
        <f t="shared" si="1"/>
        <v>-2439532178</v>
      </c>
      <c r="H10" s="135">
        <f t="shared" si="1"/>
        <v>510545368569</v>
      </c>
      <c r="I10" s="135">
        <f t="shared" si="1"/>
        <v>27089331023</v>
      </c>
      <c r="J10" s="135">
        <f t="shared" si="1"/>
        <v>26703296399</v>
      </c>
      <c r="K10" s="135">
        <f t="shared" si="1"/>
        <v>386034624</v>
      </c>
      <c r="L10" s="144"/>
      <c r="M10" s="144"/>
      <c r="N10" s="144"/>
      <c r="O10" s="144"/>
      <c r="P10" s="144"/>
      <c r="Q10" s="135">
        <f>SUM(Q11:Q36)</f>
        <v>537634699592</v>
      </c>
      <c r="R10" s="135"/>
      <c r="S10" s="135"/>
      <c r="T10" s="135">
        <f>SUM(T11:T36)</f>
        <v>550960536617</v>
      </c>
      <c r="U10" s="135">
        <f>SUM(U11:U36)</f>
        <v>54191128514</v>
      </c>
    </row>
    <row r="11" spans="1:21" s="272" customFormat="1" ht="18" customHeight="1">
      <c r="A11" s="218">
        <v>1</v>
      </c>
      <c r="B11" s="194" t="s">
        <v>249</v>
      </c>
      <c r="C11" s="136">
        <f>SUM(D11,E11,F11,G11)</f>
        <v>7500973700</v>
      </c>
      <c r="D11" s="136">
        <v>5259000000</v>
      </c>
      <c r="E11" s="136"/>
      <c r="F11" s="136">
        <f>2251270000-9296300</f>
        <v>2241973700</v>
      </c>
      <c r="G11" s="136"/>
      <c r="H11" s="136">
        <v>7494133021</v>
      </c>
      <c r="I11" s="136">
        <f aca="true" t="shared" si="2" ref="I11:I35">C11-H11</f>
        <v>6840679</v>
      </c>
      <c r="J11" s="136"/>
      <c r="K11" s="136">
        <f>C11-H11-J11</f>
        <v>6840679</v>
      </c>
      <c r="P11" s="288">
        <f>Q11-T11</f>
        <v>-9296300</v>
      </c>
      <c r="Q11" s="271">
        <v>7500973700</v>
      </c>
      <c r="R11" s="271">
        <f>Q11-D11-E11</f>
        <v>2241973700</v>
      </c>
      <c r="S11" s="271">
        <f>C11-Q11</f>
        <v>0</v>
      </c>
      <c r="T11" s="271">
        <v>7510270000</v>
      </c>
      <c r="U11" s="271">
        <f>T11-D11-E11</f>
        <v>2251270000</v>
      </c>
    </row>
    <row r="12" spans="1:21" s="272" customFormat="1" ht="18" customHeight="1">
      <c r="A12" s="218">
        <f>A11+1</f>
        <v>2</v>
      </c>
      <c r="B12" s="194" t="s">
        <v>252</v>
      </c>
      <c r="C12" s="136">
        <f aca="true" t="shared" si="3" ref="C12:C35">SUM(D12,E12,F12,G12)</f>
        <v>6779604828</v>
      </c>
      <c r="D12" s="136">
        <v>5782000000</v>
      </c>
      <c r="E12" s="136"/>
      <c r="F12" s="136">
        <v>997604828</v>
      </c>
      <c r="G12" s="136"/>
      <c r="H12" s="136">
        <v>6779604828</v>
      </c>
      <c r="I12" s="136">
        <f t="shared" si="2"/>
        <v>0</v>
      </c>
      <c r="J12" s="136"/>
      <c r="K12" s="136">
        <f aca="true" t="shared" si="4" ref="K12:K36">C12-H12-J12</f>
        <v>0</v>
      </c>
      <c r="P12" s="288">
        <f aca="true" t="shared" si="5" ref="P12:P36">Q12-T12</f>
        <v>0</v>
      </c>
      <c r="Q12" s="271">
        <v>6779604828</v>
      </c>
      <c r="R12" s="271">
        <f aca="true" t="shared" si="6" ref="R12:R36">Q12-D12-E12</f>
        <v>997604828</v>
      </c>
      <c r="S12" s="271">
        <f aca="true" t="shared" si="7" ref="S12:S36">C12-Q12</f>
        <v>0</v>
      </c>
      <c r="T12" s="271">
        <v>6779604828</v>
      </c>
      <c r="U12" s="271">
        <f aca="true" t="shared" si="8" ref="U12:U36">T12-D12-E12</f>
        <v>997604828</v>
      </c>
    </row>
    <row r="13" spans="1:21" s="272" customFormat="1" ht="18" customHeight="1">
      <c r="A13" s="218">
        <f>A12+1</f>
        <v>3</v>
      </c>
      <c r="B13" s="194" t="s">
        <v>552</v>
      </c>
      <c r="C13" s="136">
        <f t="shared" si="3"/>
        <v>3826883700</v>
      </c>
      <c r="D13" s="136">
        <v>3424000000</v>
      </c>
      <c r="E13" s="136"/>
      <c r="F13" s="136">
        <f>405388000-2504300</f>
        <v>402883700</v>
      </c>
      <c r="G13" s="136"/>
      <c r="H13" s="136">
        <v>3826001900</v>
      </c>
      <c r="I13" s="136">
        <f t="shared" si="2"/>
        <v>881800</v>
      </c>
      <c r="J13" s="136"/>
      <c r="K13" s="136">
        <f t="shared" si="4"/>
        <v>881800</v>
      </c>
      <c r="P13" s="288">
        <f t="shared" si="5"/>
        <v>-2504300</v>
      </c>
      <c r="Q13" s="271">
        <v>3826883700</v>
      </c>
      <c r="R13" s="271">
        <f t="shared" si="6"/>
        <v>402883700</v>
      </c>
      <c r="S13" s="271">
        <f t="shared" si="7"/>
        <v>0</v>
      </c>
      <c r="T13" s="271">
        <v>3829388000</v>
      </c>
      <c r="U13" s="271">
        <f t="shared" si="8"/>
        <v>405388000</v>
      </c>
    </row>
    <row r="14" spans="1:21" s="272" customFormat="1" ht="18" customHeight="1">
      <c r="A14" s="218">
        <f aca="true" t="shared" si="9" ref="A14:A36">A13+1</f>
        <v>4</v>
      </c>
      <c r="B14" s="194" t="s">
        <v>254</v>
      </c>
      <c r="C14" s="136">
        <f t="shared" si="3"/>
        <v>9138196118</v>
      </c>
      <c r="D14" s="136">
        <v>10427000000</v>
      </c>
      <c r="E14" s="136">
        <v>439059083</v>
      </c>
      <c r="F14" s="136"/>
      <c r="G14" s="136">
        <f>15343086-1743206051</f>
        <v>-1727862965</v>
      </c>
      <c r="H14" s="136">
        <v>9118681118</v>
      </c>
      <c r="I14" s="136">
        <f t="shared" si="2"/>
        <v>19515000</v>
      </c>
      <c r="J14" s="136"/>
      <c r="K14" s="136">
        <f t="shared" si="4"/>
        <v>19515000</v>
      </c>
      <c r="P14" s="288">
        <f t="shared" si="5"/>
        <v>-1743206051</v>
      </c>
      <c r="Q14" s="271">
        <v>9138196118</v>
      </c>
      <c r="R14" s="271">
        <f t="shared" si="6"/>
        <v>-1727862965</v>
      </c>
      <c r="S14" s="271">
        <f t="shared" si="7"/>
        <v>0</v>
      </c>
      <c r="T14" s="271">
        <v>10881402169</v>
      </c>
      <c r="U14" s="271">
        <f t="shared" si="8"/>
        <v>15343086</v>
      </c>
    </row>
    <row r="15" spans="1:21" s="272" customFormat="1" ht="18" customHeight="1">
      <c r="A15" s="218">
        <f t="shared" si="9"/>
        <v>5</v>
      </c>
      <c r="B15" s="194" t="s">
        <v>553</v>
      </c>
      <c r="C15" s="136">
        <f t="shared" si="3"/>
        <v>1841461520</v>
      </c>
      <c r="D15" s="136">
        <v>1402000000</v>
      </c>
      <c r="E15" s="136"/>
      <c r="F15" s="136">
        <v>439461520</v>
      </c>
      <c r="G15" s="136"/>
      <c r="H15" s="136">
        <v>1841341288</v>
      </c>
      <c r="I15" s="136">
        <f t="shared" si="2"/>
        <v>120232</v>
      </c>
      <c r="J15" s="136"/>
      <c r="K15" s="136">
        <f t="shared" si="4"/>
        <v>120232</v>
      </c>
      <c r="P15" s="288">
        <f t="shared" si="5"/>
        <v>0</v>
      </c>
      <c r="Q15" s="271">
        <v>1841461520</v>
      </c>
      <c r="R15" s="271">
        <f t="shared" si="6"/>
        <v>439461520</v>
      </c>
      <c r="S15" s="271">
        <f t="shared" si="7"/>
        <v>0</v>
      </c>
      <c r="T15" s="271">
        <v>1841461520</v>
      </c>
      <c r="U15" s="271">
        <f t="shared" si="8"/>
        <v>439461520</v>
      </c>
    </row>
    <row r="16" spans="1:21" s="272" customFormat="1" ht="18" customHeight="1">
      <c r="A16" s="218">
        <f t="shared" si="9"/>
        <v>6</v>
      </c>
      <c r="B16" s="194" t="s">
        <v>256</v>
      </c>
      <c r="C16" s="136">
        <f t="shared" si="3"/>
        <v>4806958905</v>
      </c>
      <c r="D16" s="136">
        <v>4110600000.0000005</v>
      </c>
      <c r="E16" s="136">
        <v>2069367</v>
      </c>
      <c r="F16" s="136">
        <f>792500000-98210462</f>
        <v>694289538</v>
      </c>
      <c r="G16" s="136"/>
      <c r="H16" s="136">
        <v>4156843905</v>
      </c>
      <c r="I16" s="136">
        <f t="shared" si="2"/>
        <v>650115000</v>
      </c>
      <c r="J16" s="136">
        <v>650000000</v>
      </c>
      <c r="K16" s="136">
        <f t="shared" si="4"/>
        <v>115000</v>
      </c>
      <c r="P16" s="288">
        <f t="shared" si="5"/>
        <v>-98210462</v>
      </c>
      <c r="Q16" s="271">
        <v>4806958905</v>
      </c>
      <c r="R16" s="271">
        <f t="shared" si="6"/>
        <v>694289537.9999995</v>
      </c>
      <c r="S16" s="271">
        <f t="shared" si="7"/>
        <v>0</v>
      </c>
      <c r="T16" s="271">
        <v>4905169367</v>
      </c>
      <c r="U16" s="271">
        <f t="shared" si="8"/>
        <v>792499999.9999995</v>
      </c>
    </row>
    <row r="17" spans="1:21" s="272" customFormat="1" ht="18" customHeight="1">
      <c r="A17" s="218">
        <f t="shared" si="9"/>
        <v>7</v>
      </c>
      <c r="B17" s="194" t="s">
        <v>171</v>
      </c>
      <c r="C17" s="136">
        <f t="shared" si="3"/>
        <v>901956656</v>
      </c>
      <c r="D17" s="136">
        <v>706000000</v>
      </c>
      <c r="E17" s="136"/>
      <c r="F17" s="136">
        <f>205644000-9687344</f>
        <v>195956656</v>
      </c>
      <c r="G17" s="136"/>
      <c r="H17" s="136">
        <v>901881656</v>
      </c>
      <c r="I17" s="136">
        <f t="shared" si="2"/>
        <v>75000</v>
      </c>
      <c r="J17" s="136"/>
      <c r="K17" s="136">
        <f t="shared" si="4"/>
        <v>75000</v>
      </c>
      <c r="P17" s="288">
        <f t="shared" si="5"/>
        <v>-9687344</v>
      </c>
      <c r="Q17" s="271">
        <v>901956656</v>
      </c>
      <c r="R17" s="271">
        <f t="shared" si="6"/>
        <v>195956656</v>
      </c>
      <c r="S17" s="271">
        <f t="shared" si="7"/>
        <v>0</v>
      </c>
      <c r="T17" s="271">
        <v>911644000</v>
      </c>
      <c r="U17" s="271">
        <f t="shared" si="8"/>
        <v>205644000</v>
      </c>
    </row>
    <row r="18" spans="1:21" s="272" customFormat="1" ht="18" customHeight="1">
      <c r="A18" s="218">
        <f t="shared" si="9"/>
        <v>8</v>
      </c>
      <c r="B18" s="194" t="s">
        <v>257</v>
      </c>
      <c r="C18" s="136">
        <f t="shared" si="3"/>
        <v>528403330</v>
      </c>
      <c r="D18" s="136">
        <v>499000000</v>
      </c>
      <c r="E18" s="136"/>
      <c r="F18" s="136">
        <f>33000000-3596670</f>
        <v>29403330</v>
      </c>
      <c r="G18" s="136"/>
      <c r="H18" s="136">
        <v>528403330</v>
      </c>
      <c r="I18" s="136">
        <f t="shared" si="2"/>
        <v>0</v>
      </c>
      <c r="J18" s="136"/>
      <c r="K18" s="136">
        <f t="shared" si="4"/>
        <v>0</v>
      </c>
      <c r="P18" s="288">
        <f t="shared" si="5"/>
        <v>-3596670</v>
      </c>
      <c r="Q18" s="271">
        <v>528403330</v>
      </c>
      <c r="R18" s="271">
        <f t="shared" si="6"/>
        <v>29403330</v>
      </c>
      <c r="S18" s="271">
        <f t="shared" si="7"/>
        <v>0</v>
      </c>
      <c r="T18" s="271">
        <v>532000000</v>
      </c>
      <c r="U18" s="271">
        <f t="shared" si="8"/>
        <v>33000000</v>
      </c>
    </row>
    <row r="19" spans="1:21" s="272" customFormat="1" ht="18" customHeight="1">
      <c r="A19" s="218">
        <f t="shared" si="9"/>
        <v>9</v>
      </c>
      <c r="B19" s="194" t="s">
        <v>554</v>
      </c>
      <c r="C19" s="136">
        <f t="shared" si="3"/>
        <v>12091824598</v>
      </c>
      <c r="D19" s="136">
        <v>7055440000.000001</v>
      </c>
      <c r="E19" s="136"/>
      <c r="F19" s="136">
        <v>5036384597.999999</v>
      </c>
      <c r="G19" s="136"/>
      <c r="H19" s="136">
        <v>12002988153</v>
      </c>
      <c r="I19" s="136">
        <f t="shared" si="2"/>
        <v>88836445</v>
      </c>
      <c r="J19" s="136"/>
      <c r="K19" s="136">
        <f t="shared" si="4"/>
        <v>88836445</v>
      </c>
      <c r="P19" s="288">
        <f t="shared" si="5"/>
        <v>0</v>
      </c>
      <c r="Q19" s="271">
        <v>12091824598</v>
      </c>
      <c r="R19" s="271">
        <f t="shared" si="6"/>
        <v>5036384597.999999</v>
      </c>
      <c r="S19" s="271">
        <f t="shared" si="7"/>
        <v>0</v>
      </c>
      <c r="T19" s="271">
        <v>12091824598</v>
      </c>
      <c r="U19" s="271">
        <f t="shared" si="8"/>
        <v>5036384597.999999</v>
      </c>
    </row>
    <row r="20" spans="1:21" s="272" customFormat="1" ht="18" customHeight="1">
      <c r="A20" s="218">
        <f t="shared" si="9"/>
        <v>10</v>
      </c>
      <c r="B20" s="194" t="s">
        <v>259</v>
      </c>
      <c r="C20" s="136">
        <f t="shared" si="3"/>
        <v>268676000</v>
      </c>
      <c r="D20" s="136">
        <v>239000000</v>
      </c>
      <c r="E20" s="136"/>
      <c r="F20" s="136">
        <v>29676000</v>
      </c>
      <c r="G20" s="136"/>
      <c r="H20" s="136">
        <v>255678300</v>
      </c>
      <c r="I20" s="136">
        <f t="shared" si="2"/>
        <v>12997700</v>
      </c>
      <c r="J20" s="136"/>
      <c r="K20" s="136">
        <f t="shared" si="4"/>
        <v>12997700</v>
      </c>
      <c r="P20" s="288">
        <f t="shared" si="5"/>
        <v>0</v>
      </c>
      <c r="Q20" s="271">
        <v>268676000</v>
      </c>
      <c r="R20" s="271">
        <f t="shared" si="6"/>
        <v>29676000</v>
      </c>
      <c r="S20" s="271">
        <f t="shared" si="7"/>
        <v>0</v>
      </c>
      <c r="T20" s="271">
        <v>268676000</v>
      </c>
      <c r="U20" s="271">
        <f t="shared" si="8"/>
        <v>29676000</v>
      </c>
    </row>
    <row r="21" spans="1:21" s="272" customFormat="1" ht="18" customHeight="1">
      <c r="A21" s="218">
        <f t="shared" si="9"/>
        <v>11</v>
      </c>
      <c r="B21" s="194" t="s">
        <v>260</v>
      </c>
      <c r="C21" s="136">
        <f t="shared" si="3"/>
        <v>2041284000</v>
      </c>
      <c r="D21" s="136">
        <v>1875000000</v>
      </c>
      <c r="E21" s="136"/>
      <c r="F21" s="136">
        <v>166284000</v>
      </c>
      <c r="G21" s="136"/>
      <c r="H21" s="136">
        <v>2041284000</v>
      </c>
      <c r="I21" s="136">
        <f t="shared" si="2"/>
        <v>0</v>
      </c>
      <c r="J21" s="136"/>
      <c r="K21" s="136">
        <f t="shared" si="4"/>
        <v>0</v>
      </c>
      <c r="P21" s="288">
        <f t="shared" si="5"/>
        <v>0</v>
      </c>
      <c r="Q21" s="271">
        <v>2041284000</v>
      </c>
      <c r="R21" s="271">
        <f t="shared" si="6"/>
        <v>166284000</v>
      </c>
      <c r="S21" s="271">
        <f t="shared" si="7"/>
        <v>0</v>
      </c>
      <c r="T21" s="271">
        <v>2041284000</v>
      </c>
      <c r="U21" s="271">
        <f t="shared" si="8"/>
        <v>166284000</v>
      </c>
    </row>
    <row r="22" spans="1:21" s="272" customFormat="1" ht="18" customHeight="1">
      <c r="A22" s="218">
        <f t="shared" si="9"/>
        <v>12</v>
      </c>
      <c r="B22" s="194" t="s">
        <v>261</v>
      </c>
      <c r="C22" s="136">
        <f t="shared" si="3"/>
        <v>18556717237</v>
      </c>
      <c r="D22" s="136">
        <v>18579000000</v>
      </c>
      <c r="E22" s="136">
        <v>3016397</v>
      </c>
      <c r="F22" s="136"/>
      <c r="G22" s="136">
        <f>311072600-336371760</f>
        <v>-25299160</v>
      </c>
      <c r="H22" s="136">
        <v>18377463201</v>
      </c>
      <c r="I22" s="136">
        <f t="shared" si="2"/>
        <v>179254036</v>
      </c>
      <c r="J22" s="136">
        <v>94795000</v>
      </c>
      <c r="K22" s="136">
        <f t="shared" si="4"/>
        <v>84459036</v>
      </c>
      <c r="L22" s="236"/>
      <c r="M22" s="236"/>
      <c r="N22" s="236"/>
      <c r="O22" s="236"/>
      <c r="P22" s="288">
        <f t="shared" si="5"/>
        <v>-336371760</v>
      </c>
      <c r="Q22" s="271">
        <v>18556717237</v>
      </c>
      <c r="R22" s="271">
        <f t="shared" si="6"/>
        <v>-25299160</v>
      </c>
      <c r="S22" s="271">
        <f t="shared" si="7"/>
        <v>0</v>
      </c>
      <c r="T22" s="271">
        <v>18893088997</v>
      </c>
      <c r="U22" s="271">
        <f t="shared" si="8"/>
        <v>311072600</v>
      </c>
    </row>
    <row r="23" spans="1:21" s="272" customFormat="1" ht="18" customHeight="1">
      <c r="A23" s="218">
        <f t="shared" si="9"/>
        <v>13</v>
      </c>
      <c r="B23" s="194" t="s">
        <v>262</v>
      </c>
      <c r="C23" s="136">
        <f t="shared" si="3"/>
        <v>4801210058</v>
      </c>
      <c r="D23" s="136">
        <v>5429487000</v>
      </c>
      <c r="E23" s="136"/>
      <c r="F23" s="136"/>
      <c r="G23" s="136">
        <f>1400438923-2028715865</f>
        <v>-628276942</v>
      </c>
      <c r="H23" s="136">
        <v>4801201058</v>
      </c>
      <c r="I23" s="136">
        <f>C23-H23</f>
        <v>9000</v>
      </c>
      <c r="J23" s="136"/>
      <c r="K23" s="136">
        <f t="shared" si="4"/>
        <v>9000</v>
      </c>
      <c r="L23" s="236"/>
      <c r="M23" s="236"/>
      <c r="N23" s="236"/>
      <c r="O23" s="236"/>
      <c r="P23" s="288">
        <f t="shared" si="5"/>
        <v>-2028715865</v>
      </c>
      <c r="Q23" s="271">
        <v>4801210058</v>
      </c>
      <c r="R23" s="271">
        <f t="shared" si="6"/>
        <v>-628276942</v>
      </c>
      <c r="S23" s="271">
        <f t="shared" si="7"/>
        <v>0</v>
      </c>
      <c r="T23" s="271">
        <v>6829925923</v>
      </c>
      <c r="U23" s="271">
        <f t="shared" si="8"/>
        <v>1400438923</v>
      </c>
    </row>
    <row r="24" spans="1:21" s="272" customFormat="1" ht="18" customHeight="1">
      <c r="A24" s="218">
        <f t="shared" si="9"/>
        <v>14</v>
      </c>
      <c r="B24" s="194" t="s">
        <v>555</v>
      </c>
      <c r="C24" s="136">
        <f t="shared" si="3"/>
        <v>357579111313</v>
      </c>
      <c r="D24" s="136">
        <v>345821000000</v>
      </c>
      <c r="E24" s="136">
        <v>16672000</v>
      </c>
      <c r="F24" s="136">
        <f>12287894813-546455500</f>
        <v>11741439313</v>
      </c>
      <c r="G24" s="136"/>
      <c r="H24" s="136">
        <v>357529201313</v>
      </c>
      <c r="I24" s="136">
        <f t="shared" si="2"/>
        <v>49910000</v>
      </c>
      <c r="J24" s="136">
        <v>49910000</v>
      </c>
      <c r="K24" s="136">
        <f t="shared" si="4"/>
        <v>0</v>
      </c>
      <c r="P24" s="288">
        <f t="shared" si="5"/>
        <v>-546455500</v>
      </c>
      <c r="Q24" s="271">
        <v>357579111313</v>
      </c>
      <c r="R24" s="271">
        <f t="shared" si="6"/>
        <v>11741439313</v>
      </c>
      <c r="S24" s="271">
        <f t="shared" si="7"/>
        <v>0</v>
      </c>
      <c r="T24" s="271">
        <v>358125566813</v>
      </c>
      <c r="U24" s="271">
        <f t="shared" si="8"/>
        <v>12287894813</v>
      </c>
    </row>
    <row r="25" spans="1:21" s="272" customFormat="1" ht="18" customHeight="1">
      <c r="A25" s="218">
        <f t="shared" si="9"/>
        <v>15</v>
      </c>
      <c r="B25" s="194" t="s">
        <v>556</v>
      </c>
      <c r="C25" s="136">
        <f t="shared" si="3"/>
        <v>1228322300</v>
      </c>
      <c r="D25" s="136">
        <v>755000000</v>
      </c>
      <c r="E25" s="136"/>
      <c r="F25" s="136">
        <f>578265000-104942700</f>
        <v>473322300</v>
      </c>
      <c r="G25" s="136"/>
      <c r="H25" s="136">
        <v>1228322300</v>
      </c>
      <c r="I25" s="136">
        <f t="shared" si="2"/>
        <v>0</v>
      </c>
      <c r="J25" s="136"/>
      <c r="K25" s="136">
        <f t="shared" si="4"/>
        <v>0</v>
      </c>
      <c r="P25" s="288">
        <f t="shared" si="5"/>
        <v>-104942700</v>
      </c>
      <c r="Q25" s="271">
        <v>1228322300</v>
      </c>
      <c r="R25" s="271">
        <f t="shared" si="6"/>
        <v>473322300</v>
      </c>
      <c r="S25" s="271">
        <f t="shared" si="7"/>
        <v>0</v>
      </c>
      <c r="T25" s="271">
        <v>1333265000</v>
      </c>
      <c r="U25" s="271">
        <f t="shared" si="8"/>
        <v>578265000</v>
      </c>
    </row>
    <row r="26" spans="1:21" s="272" customFormat="1" ht="18" customHeight="1">
      <c r="A26" s="218">
        <f t="shared" si="9"/>
        <v>16</v>
      </c>
      <c r="B26" s="194" t="s">
        <v>557</v>
      </c>
      <c r="C26" s="136">
        <f t="shared" si="3"/>
        <v>777698300</v>
      </c>
      <c r="D26" s="136">
        <v>531000000</v>
      </c>
      <c r="E26" s="136"/>
      <c r="F26" s="136">
        <f>252500000-5801700</f>
        <v>246698300</v>
      </c>
      <c r="G26" s="136"/>
      <c r="H26" s="136">
        <v>767643300</v>
      </c>
      <c r="I26" s="136">
        <f t="shared" si="2"/>
        <v>10055000</v>
      </c>
      <c r="J26" s="136"/>
      <c r="K26" s="136">
        <f t="shared" si="4"/>
        <v>10055000</v>
      </c>
      <c r="P26" s="288">
        <f t="shared" si="5"/>
        <v>-5801700</v>
      </c>
      <c r="Q26" s="271">
        <v>777698300</v>
      </c>
      <c r="R26" s="271">
        <f t="shared" si="6"/>
        <v>246698300</v>
      </c>
      <c r="S26" s="271">
        <f t="shared" si="7"/>
        <v>0</v>
      </c>
      <c r="T26" s="271">
        <v>783500000</v>
      </c>
      <c r="U26" s="271">
        <f t="shared" si="8"/>
        <v>252500000</v>
      </c>
    </row>
    <row r="27" spans="1:21" s="272" customFormat="1" ht="18" customHeight="1">
      <c r="A27" s="218">
        <f t="shared" si="9"/>
        <v>17</v>
      </c>
      <c r="B27" s="194" t="s">
        <v>266</v>
      </c>
      <c r="C27" s="136">
        <f t="shared" si="3"/>
        <v>1707949038</v>
      </c>
      <c r="D27" s="136">
        <v>1563000000</v>
      </c>
      <c r="E27" s="136">
        <v>10000000</v>
      </c>
      <c r="F27" s="136">
        <f>148056366-13107328</f>
        <v>134949038</v>
      </c>
      <c r="G27" s="136"/>
      <c r="H27" s="136">
        <v>1685402492</v>
      </c>
      <c r="I27" s="136">
        <f t="shared" si="2"/>
        <v>22546546</v>
      </c>
      <c r="J27" s="136">
        <v>3</v>
      </c>
      <c r="K27" s="136">
        <f t="shared" si="4"/>
        <v>22546543</v>
      </c>
      <c r="P27" s="288">
        <f t="shared" si="5"/>
        <v>-13107328</v>
      </c>
      <c r="Q27" s="271">
        <v>1707949038</v>
      </c>
      <c r="R27" s="271">
        <f t="shared" si="6"/>
        <v>134949038</v>
      </c>
      <c r="S27" s="271">
        <f t="shared" si="7"/>
        <v>0</v>
      </c>
      <c r="T27" s="271">
        <v>1721056366</v>
      </c>
      <c r="U27" s="271">
        <f t="shared" si="8"/>
        <v>148056366</v>
      </c>
    </row>
    <row r="28" spans="1:21" s="272" customFormat="1" ht="18" customHeight="1">
      <c r="A28" s="218">
        <f t="shared" si="9"/>
        <v>18</v>
      </c>
      <c r="B28" s="194" t="s">
        <v>267</v>
      </c>
      <c r="C28" s="136">
        <f t="shared" si="3"/>
        <v>210460607</v>
      </c>
      <c r="D28" s="136">
        <v>249316000</v>
      </c>
      <c r="E28" s="136">
        <v>19237718</v>
      </c>
      <c r="F28" s="136"/>
      <c r="G28" s="136">
        <v>-58093111</v>
      </c>
      <c r="H28" s="136">
        <v>210460607</v>
      </c>
      <c r="I28" s="136">
        <f t="shared" si="2"/>
        <v>0</v>
      </c>
      <c r="J28" s="136"/>
      <c r="K28" s="136">
        <f t="shared" si="4"/>
        <v>0</v>
      </c>
      <c r="P28" s="288">
        <f t="shared" si="5"/>
        <v>0</v>
      </c>
      <c r="Q28" s="271">
        <v>210460607</v>
      </c>
      <c r="R28" s="271">
        <f t="shared" si="6"/>
        <v>-58093111</v>
      </c>
      <c r="S28" s="271">
        <f t="shared" si="7"/>
        <v>0</v>
      </c>
      <c r="T28" s="271">
        <v>210460607</v>
      </c>
      <c r="U28" s="271">
        <f t="shared" si="8"/>
        <v>-58093111</v>
      </c>
    </row>
    <row r="29" spans="1:21" s="143" customFormat="1" ht="18" customHeight="1">
      <c r="A29" s="218">
        <f t="shared" si="9"/>
        <v>19</v>
      </c>
      <c r="B29" s="194" t="s">
        <v>265</v>
      </c>
      <c r="C29" s="136">
        <f t="shared" si="3"/>
        <v>1164901000</v>
      </c>
      <c r="D29" s="136">
        <v>243000000</v>
      </c>
      <c r="E29" s="136"/>
      <c r="F29" s="136">
        <v>921901000</v>
      </c>
      <c r="G29" s="136"/>
      <c r="H29" s="136">
        <v>1164901000</v>
      </c>
      <c r="I29" s="136">
        <f t="shared" si="2"/>
        <v>0</v>
      </c>
      <c r="J29" s="136"/>
      <c r="K29" s="136">
        <f t="shared" si="4"/>
        <v>0</v>
      </c>
      <c r="P29" s="288">
        <f t="shared" si="5"/>
        <v>0</v>
      </c>
      <c r="Q29" s="271">
        <v>1164901000</v>
      </c>
      <c r="R29" s="271">
        <f t="shared" si="6"/>
        <v>921901000</v>
      </c>
      <c r="S29" s="271">
        <f t="shared" si="7"/>
        <v>0</v>
      </c>
      <c r="T29" s="271">
        <v>1164901000</v>
      </c>
      <c r="U29" s="271">
        <f t="shared" si="8"/>
        <v>921901000</v>
      </c>
    </row>
    <row r="30" spans="1:21" s="143" customFormat="1" ht="18" customHeight="1">
      <c r="A30" s="218">
        <f t="shared" si="9"/>
        <v>20</v>
      </c>
      <c r="B30" s="194" t="s">
        <v>558</v>
      </c>
      <c r="C30" s="136">
        <f t="shared" si="3"/>
        <v>2401000000</v>
      </c>
      <c r="D30" s="136">
        <v>2164000000</v>
      </c>
      <c r="E30" s="136"/>
      <c r="F30" s="136">
        <v>237000000</v>
      </c>
      <c r="G30" s="136"/>
      <c r="H30" s="136">
        <v>2400975000</v>
      </c>
      <c r="I30" s="136">
        <f t="shared" si="2"/>
        <v>25000</v>
      </c>
      <c r="J30" s="136"/>
      <c r="K30" s="136">
        <f t="shared" si="4"/>
        <v>25000</v>
      </c>
      <c r="P30" s="288">
        <f t="shared" si="5"/>
        <v>0</v>
      </c>
      <c r="Q30" s="271">
        <v>2401000000</v>
      </c>
      <c r="R30" s="271">
        <f t="shared" si="6"/>
        <v>237000000</v>
      </c>
      <c r="S30" s="271">
        <f t="shared" si="7"/>
        <v>0</v>
      </c>
      <c r="T30" s="271">
        <v>2401000000</v>
      </c>
      <c r="U30" s="271">
        <f t="shared" si="8"/>
        <v>237000000</v>
      </c>
    </row>
    <row r="31" spans="1:21" s="143" customFormat="1" ht="18" customHeight="1">
      <c r="A31" s="218">
        <f t="shared" si="9"/>
        <v>21</v>
      </c>
      <c r="B31" s="194" t="s">
        <v>269</v>
      </c>
      <c r="C31" s="136">
        <f t="shared" si="3"/>
        <v>3646874000</v>
      </c>
      <c r="D31" s="136">
        <v>2974000000</v>
      </c>
      <c r="E31" s="136"/>
      <c r="F31" s="136">
        <v>672874000</v>
      </c>
      <c r="G31" s="136"/>
      <c r="H31" s="136">
        <v>3640130000</v>
      </c>
      <c r="I31" s="136">
        <f>C31-H31</f>
        <v>6744000</v>
      </c>
      <c r="J31" s="136"/>
      <c r="K31" s="136">
        <f t="shared" si="4"/>
        <v>6744000</v>
      </c>
      <c r="P31" s="288">
        <f t="shared" si="5"/>
        <v>0</v>
      </c>
      <c r="Q31" s="271">
        <v>3646874000</v>
      </c>
      <c r="R31" s="271">
        <f t="shared" si="6"/>
        <v>672874000</v>
      </c>
      <c r="S31" s="271">
        <f t="shared" si="7"/>
        <v>0</v>
      </c>
      <c r="T31" s="271">
        <v>3646874000</v>
      </c>
      <c r="U31" s="271">
        <f t="shared" si="8"/>
        <v>672874000</v>
      </c>
    </row>
    <row r="32" spans="1:21" s="143" customFormat="1" ht="18" customHeight="1">
      <c r="A32" s="218">
        <f t="shared" si="9"/>
        <v>22</v>
      </c>
      <c r="B32" s="194" t="s">
        <v>477</v>
      </c>
      <c r="C32" s="136">
        <f t="shared" si="3"/>
        <v>1108472000</v>
      </c>
      <c r="D32" s="136"/>
      <c r="E32" s="136"/>
      <c r="F32" s="136">
        <f>1133000000-24528000</f>
        <v>1108472000</v>
      </c>
      <c r="G32" s="136"/>
      <c r="H32" s="136">
        <v>1108472000</v>
      </c>
      <c r="I32" s="136">
        <f>C32-H32</f>
        <v>0</v>
      </c>
      <c r="J32" s="136"/>
      <c r="K32" s="136">
        <f t="shared" si="4"/>
        <v>0</v>
      </c>
      <c r="P32" s="288">
        <f t="shared" si="5"/>
        <v>-24528000</v>
      </c>
      <c r="Q32" s="271">
        <v>1108472000</v>
      </c>
      <c r="R32" s="271">
        <f t="shared" si="6"/>
        <v>1108472000</v>
      </c>
      <c r="S32" s="271">
        <f t="shared" si="7"/>
        <v>0</v>
      </c>
      <c r="T32" s="271">
        <v>1133000000</v>
      </c>
      <c r="U32" s="271">
        <f t="shared" si="8"/>
        <v>1133000000</v>
      </c>
    </row>
    <row r="33" spans="1:21" s="143" customFormat="1" ht="18" customHeight="1">
      <c r="A33" s="218">
        <f t="shared" si="9"/>
        <v>23</v>
      </c>
      <c r="B33" s="194" t="s">
        <v>559</v>
      </c>
      <c r="C33" s="136">
        <f t="shared" si="3"/>
        <v>2593780000</v>
      </c>
      <c r="D33" s="136">
        <v>1200000000</v>
      </c>
      <c r="E33" s="136"/>
      <c r="F33" s="136">
        <v>1393780000</v>
      </c>
      <c r="G33" s="136"/>
      <c r="H33" s="136">
        <v>2593780000</v>
      </c>
      <c r="I33" s="136">
        <f>C33-H33</f>
        <v>0</v>
      </c>
      <c r="J33" s="136"/>
      <c r="K33" s="136">
        <f t="shared" si="4"/>
        <v>0</v>
      </c>
      <c r="P33" s="288">
        <f t="shared" si="5"/>
        <v>0</v>
      </c>
      <c r="Q33" s="271">
        <v>2593780000</v>
      </c>
      <c r="R33" s="271">
        <f t="shared" si="6"/>
        <v>1393780000</v>
      </c>
      <c r="S33" s="271">
        <f t="shared" si="7"/>
        <v>0</v>
      </c>
      <c r="T33" s="271">
        <v>2593780000</v>
      </c>
      <c r="U33" s="271">
        <f t="shared" si="8"/>
        <v>1393780000</v>
      </c>
    </row>
    <row r="34" spans="1:21" s="143" customFormat="1" ht="18" customHeight="1">
      <c r="A34" s="218">
        <f t="shared" si="9"/>
        <v>24</v>
      </c>
      <c r="B34" s="194" t="s">
        <v>560</v>
      </c>
      <c r="C34" s="136">
        <f t="shared" si="3"/>
        <v>4565000000</v>
      </c>
      <c r="D34" s="136">
        <v>3650000000</v>
      </c>
      <c r="E34" s="136"/>
      <c r="F34" s="136">
        <v>915000000</v>
      </c>
      <c r="G34" s="136"/>
      <c r="H34" s="136">
        <v>4549905000</v>
      </c>
      <c r="I34" s="136">
        <f>C34-H34</f>
        <v>15095000</v>
      </c>
      <c r="J34" s="136"/>
      <c r="K34" s="136">
        <f t="shared" si="4"/>
        <v>15095000</v>
      </c>
      <c r="L34" s="389"/>
      <c r="M34" s="389"/>
      <c r="N34" s="389"/>
      <c r="O34" s="389"/>
      <c r="P34" s="288">
        <f t="shared" si="5"/>
        <v>0</v>
      </c>
      <c r="Q34" s="271">
        <v>4565000000</v>
      </c>
      <c r="R34" s="271">
        <f t="shared" si="6"/>
        <v>915000000</v>
      </c>
      <c r="S34" s="271">
        <f t="shared" si="7"/>
        <v>0</v>
      </c>
      <c r="T34" s="271">
        <v>4565000000</v>
      </c>
      <c r="U34" s="271">
        <f t="shared" si="8"/>
        <v>915000000</v>
      </c>
    </row>
    <row r="35" spans="1:21" s="143" customFormat="1" ht="18" customHeight="1">
      <c r="A35" s="218">
        <f t="shared" si="9"/>
        <v>25</v>
      </c>
      <c r="B35" s="194" t="s">
        <v>548</v>
      </c>
      <c r="C35" s="136">
        <f t="shared" si="3"/>
        <v>55305055770</v>
      </c>
      <c r="D35" s="136">
        <v>39245843000</v>
      </c>
      <c r="E35" s="136">
        <v>5549744000</v>
      </c>
      <c r="F35" s="136">
        <f>18908881815-8399413045</f>
        <v>10509468770</v>
      </c>
      <c r="G35" s="136"/>
      <c r="H35" s="136">
        <v>53811029700</v>
      </c>
      <c r="I35" s="136">
        <f t="shared" si="2"/>
        <v>1494026070</v>
      </c>
      <c r="J35" s="136">
        <v>1473503000</v>
      </c>
      <c r="K35" s="136">
        <f t="shared" si="4"/>
        <v>20523070</v>
      </c>
      <c r="P35" s="288">
        <f t="shared" si="5"/>
        <v>-8399413045</v>
      </c>
      <c r="Q35" s="271">
        <v>55305055770</v>
      </c>
      <c r="R35" s="271">
        <f t="shared" si="6"/>
        <v>10509468770</v>
      </c>
      <c r="S35" s="271">
        <f t="shared" si="7"/>
        <v>0</v>
      </c>
      <c r="T35" s="271">
        <v>63704468815</v>
      </c>
      <c r="U35" s="271">
        <f t="shared" si="8"/>
        <v>18908881815</v>
      </c>
    </row>
    <row r="36" spans="1:21" s="143" customFormat="1" ht="18" customHeight="1">
      <c r="A36" s="218">
        <f t="shared" si="9"/>
        <v>26</v>
      </c>
      <c r="B36" s="194" t="s">
        <v>592</v>
      </c>
      <c r="C36" s="136">
        <f>SUM(D36,E36,F36,G36)</f>
        <v>32261924614</v>
      </c>
      <c r="D36" s="340">
        <f>16081314000</f>
        <v>16081314000</v>
      </c>
      <c r="E36" s="136">
        <f>10332734626+600000000+531874912</f>
        <v>11464609538</v>
      </c>
      <c r="F36" s="136">
        <f>-8660354868+13325837025+50518919</f>
        <v>4716001076</v>
      </c>
      <c r="G36" s="136"/>
      <c r="H36" s="136">
        <f>7679121180+50518919</f>
        <v>7729640099</v>
      </c>
      <c r="I36" s="136">
        <f>C36-H36</f>
        <v>24532284515</v>
      </c>
      <c r="J36" s="136">
        <v>24435088396</v>
      </c>
      <c r="K36" s="136">
        <f t="shared" si="4"/>
        <v>97196119</v>
      </c>
      <c r="L36" s="143" t="s">
        <v>626</v>
      </c>
      <c r="P36" s="288">
        <f t="shared" si="5"/>
        <v>0</v>
      </c>
      <c r="Q36" s="271">
        <f>'Biểu 54'!J92+'Biểu 54'!J95+'Biểu 54'!J101</f>
        <v>32261924614</v>
      </c>
      <c r="R36" s="271">
        <f t="shared" si="6"/>
        <v>4716001076</v>
      </c>
      <c r="S36" s="271">
        <f t="shared" si="7"/>
        <v>0</v>
      </c>
      <c r="T36" s="271">
        <f>'Biểu 54'!J92+'Biểu 54'!J95+'Biểu 54'!J98+'Biểu 54'!J101</f>
        <v>32261924614</v>
      </c>
      <c r="U36" s="271">
        <f t="shared" si="8"/>
        <v>4716001076</v>
      </c>
    </row>
    <row r="37" spans="1:20" s="272" customFormat="1" ht="18" customHeight="1">
      <c r="A37" s="285" t="s">
        <v>19</v>
      </c>
      <c r="B37" s="286" t="s">
        <v>28</v>
      </c>
      <c r="C37" s="135"/>
      <c r="D37" s="341">
        <v>9790000000</v>
      </c>
      <c r="E37" s="135"/>
      <c r="F37" s="135"/>
      <c r="G37" s="135"/>
      <c r="H37" s="135"/>
      <c r="I37" s="135">
        <f>C37-H37</f>
        <v>0</v>
      </c>
      <c r="J37" s="135"/>
      <c r="K37" s="135">
        <f>C37-H37-J37</f>
        <v>0</v>
      </c>
      <c r="Q37" s="271"/>
      <c r="R37" s="271"/>
      <c r="S37" s="271"/>
      <c r="T37" s="271"/>
    </row>
    <row r="38" spans="1:20" s="272" customFormat="1" ht="18" customHeight="1">
      <c r="A38" s="285" t="s">
        <v>19</v>
      </c>
      <c r="B38" s="286" t="s">
        <v>561</v>
      </c>
      <c r="C38" s="135">
        <f aca="true" t="shared" si="10" ref="C38:C44">SUM(D38,E38,F38,G38)</f>
        <v>3070605929</v>
      </c>
      <c r="D38" s="135">
        <f>SUM(D39:D43)</f>
        <v>2429000000</v>
      </c>
      <c r="E38" s="135">
        <f aca="true" t="shared" si="11" ref="E38:K38">SUM(E39:E43)</f>
        <v>157441851</v>
      </c>
      <c r="F38" s="135">
        <f t="shared" si="11"/>
        <v>528164078</v>
      </c>
      <c r="G38" s="135">
        <f t="shared" si="11"/>
        <v>-44000000</v>
      </c>
      <c r="H38" s="135">
        <f t="shared" si="11"/>
        <v>3026050960</v>
      </c>
      <c r="I38" s="135">
        <f>SUM(I39:I43)</f>
        <v>44554969</v>
      </c>
      <c r="J38" s="135">
        <f t="shared" si="11"/>
        <v>44554969</v>
      </c>
      <c r="K38" s="135">
        <f t="shared" si="11"/>
        <v>0</v>
      </c>
      <c r="Q38" s="271"/>
      <c r="R38" s="271"/>
      <c r="S38" s="271"/>
      <c r="T38" s="271"/>
    </row>
    <row r="39" spans="1:22" s="143" customFormat="1" ht="18" customHeight="1">
      <c r="A39" s="218">
        <v>1</v>
      </c>
      <c r="B39" s="194" t="s">
        <v>548</v>
      </c>
      <c r="C39" s="136">
        <f t="shared" si="10"/>
        <v>1161963000</v>
      </c>
      <c r="D39" s="136">
        <v>1118000000</v>
      </c>
      <c r="E39" s="136"/>
      <c r="F39" s="136">
        <v>44000000</v>
      </c>
      <c r="G39" s="136">
        <v>-37000</v>
      </c>
      <c r="H39" s="136">
        <f>1161963000</f>
        <v>1161963000</v>
      </c>
      <c r="I39" s="136">
        <f>C39-H39</f>
        <v>0</v>
      </c>
      <c r="J39" s="136"/>
      <c r="K39" s="136">
        <f>C39-H39-J39</f>
        <v>0</v>
      </c>
      <c r="L39" s="272"/>
      <c r="M39" s="272"/>
      <c r="N39" s="272"/>
      <c r="O39" s="272"/>
      <c r="P39" s="272"/>
      <c r="Q39" s="271"/>
      <c r="R39" s="271"/>
      <c r="S39" s="271"/>
      <c r="T39" s="271"/>
      <c r="U39" s="272"/>
      <c r="V39" s="272"/>
    </row>
    <row r="40" spans="1:22" s="143" customFormat="1" ht="18" customHeight="1">
      <c r="A40" s="218">
        <v>2</v>
      </c>
      <c r="B40" s="194" t="s">
        <v>269</v>
      </c>
      <c r="C40" s="136">
        <f t="shared" si="10"/>
        <v>76000000</v>
      </c>
      <c r="D40" s="136">
        <v>76000000</v>
      </c>
      <c r="E40" s="136"/>
      <c r="F40" s="136"/>
      <c r="G40" s="136"/>
      <c r="H40" s="136">
        <v>76000000</v>
      </c>
      <c r="I40" s="136">
        <f>C40-H40</f>
        <v>0</v>
      </c>
      <c r="J40" s="136"/>
      <c r="K40" s="136">
        <f>C40-H40-J40</f>
        <v>0</v>
      </c>
      <c r="L40" s="272"/>
      <c r="M40" s="272"/>
      <c r="N40" s="272"/>
      <c r="O40" s="272"/>
      <c r="P40" s="272"/>
      <c r="Q40" s="271"/>
      <c r="R40" s="271"/>
      <c r="S40" s="271"/>
      <c r="T40" s="271"/>
      <c r="U40" s="272"/>
      <c r="V40" s="272"/>
    </row>
    <row r="41" spans="1:22" s="143" customFormat="1" ht="18" customHeight="1">
      <c r="A41" s="218">
        <v>3</v>
      </c>
      <c r="B41" s="194" t="s">
        <v>261</v>
      </c>
      <c r="C41" s="136">
        <f>SUM(D41,E41,F41,G41)</f>
        <v>1117304600</v>
      </c>
      <c r="D41" s="136">
        <v>1146000000</v>
      </c>
      <c r="E41" s="136"/>
      <c r="F41" s="136"/>
      <c r="G41" s="136">
        <v>-28695400</v>
      </c>
      <c r="H41" s="136">
        <f>1117304600</f>
        <v>1117304600</v>
      </c>
      <c r="I41" s="136">
        <f>C41-H41</f>
        <v>0</v>
      </c>
      <c r="J41" s="136"/>
      <c r="K41" s="136">
        <f>C41-H41-J41</f>
        <v>0</v>
      </c>
      <c r="L41" s="272"/>
      <c r="M41" s="272"/>
      <c r="N41" s="272"/>
      <c r="O41" s="272"/>
      <c r="P41" s="272"/>
      <c r="Q41" s="271"/>
      <c r="R41" s="271"/>
      <c r="S41" s="271"/>
      <c r="T41" s="271"/>
      <c r="U41" s="272"/>
      <c r="V41" s="272"/>
    </row>
    <row r="42" spans="1:22" s="143" customFormat="1" ht="18" customHeight="1">
      <c r="A42" s="218">
        <v>4</v>
      </c>
      <c r="B42" s="194" t="s">
        <v>254</v>
      </c>
      <c r="C42" s="136">
        <f t="shared" si="10"/>
        <v>89000000</v>
      </c>
      <c r="D42" s="136">
        <v>89000000</v>
      </c>
      <c r="E42" s="136"/>
      <c r="F42" s="136"/>
      <c r="G42" s="136"/>
      <c r="H42" s="136">
        <v>89000000</v>
      </c>
      <c r="I42" s="136">
        <f>C42-H42</f>
        <v>0</v>
      </c>
      <c r="J42" s="136"/>
      <c r="K42" s="136">
        <f>C42-H42-J42</f>
        <v>0</v>
      </c>
      <c r="L42" s="272"/>
      <c r="M42" s="272"/>
      <c r="N42" s="272"/>
      <c r="O42" s="272"/>
      <c r="P42" s="272"/>
      <c r="Q42" s="271"/>
      <c r="R42" s="271"/>
      <c r="S42" s="271"/>
      <c r="T42" s="271"/>
      <c r="U42" s="272"/>
      <c r="V42" s="272"/>
    </row>
    <row r="43" spans="1:22" s="143" customFormat="1" ht="18" customHeight="1">
      <c r="A43" s="218">
        <v>5</v>
      </c>
      <c r="B43" s="194" t="s">
        <v>592</v>
      </c>
      <c r="C43" s="136">
        <f t="shared" si="10"/>
        <v>626338329</v>
      </c>
      <c r="D43" s="136"/>
      <c r="E43" s="136">
        <f>157441851</f>
        <v>157441851</v>
      </c>
      <c r="F43" s="136">
        <f>468341509+15822569</f>
        <v>484164078</v>
      </c>
      <c r="G43" s="136">
        <f>-44000000+28695400+37000</f>
        <v>-15267600</v>
      </c>
      <c r="H43" s="136">
        <f>581783360</f>
        <v>581783360</v>
      </c>
      <c r="I43" s="136">
        <f>C43-H43</f>
        <v>44554969</v>
      </c>
      <c r="J43" s="136">
        <f>15822569+28695400+37000</f>
        <v>44554969</v>
      </c>
      <c r="K43" s="136">
        <f>C43-H43-J43</f>
        <v>0</v>
      </c>
      <c r="L43" s="272"/>
      <c r="M43" s="272"/>
      <c r="N43" s="272"/>
      <c r="O43" s="272"/>
      <c r="P43" s="272"/>
      <c r="Q43" s="271"/>
      <c r="R43" s="271"/>
      <c r="S43" s="271"/>
      <c r="T43" s="271"/>
      <c r="U43" s="272"/>
      <c r="V43" s="272"/>
    </row>
    <row r="44" spans="1:20" s="272" customFormat="1" ht="18" customHeight="1">
      <c r="A44" s="285" t="s">
        <v>20</v>
      </c>
      <c r="B44" s="286" t="s">
        <v>562</v>
      </c>
      <c r="C44" s="135">
        <f t="shared" si="10"/>
        <v>9473434060</v>
      </c>
      <c r="D44" s="135">
        <f>SUM(D45:D50)</f>
        <v>11225000000</v>
      </c>
      <c r="E44" s="135">
        <f aca="true" t="shared" si="12" ref="E44:K44">SUM(E45:E50)</f>
        <v>10098292000</v>
      </c>
      <c r="F44" s="135">
        <f t="shared" si="12"/>
        <v>3591703560</v>
      </c>
      <c r="G44" s="135">
        <f t="shared" si="12"/>
        <v>-15441561500</v>
      </c>
      <c r="H44" s="135">
        <f t="shared" si="12"/>
        <v>9094404500</v>
      </c>
      <c r="I44" s="135">
        <f>SUM(I45:I50)</f>
        <v>379029560</v>
      </c>
      <c r="J44" s="135">
        <f t="shared" si="12"/>
        <v>379029560</v>
      </c>
      <c r="K44" s="135">
        <f t="shared" si="12"/>
        <v>0</v>
      </c>
      <c r="Q44" s="271"/>
      <c r="R44" s="271"/>
      <c r="S44" s="271"/>
      <c r="T44" s="271"/>
    </row>
    <row r="45" spans="1:22" s="143" customFormat="1" ht="18" customHeight="1">
      <c r="A45" s="218">
        <v>1</v>
      </c>
      <c r="B45" s="194" t="s">
        <v>261</v>
      </c>
      <c r="C45" s="136">
        <f aca="true" t="shared" si="13" ref="C45:C50">SUM(D45,E45,F45,G45)</f>
        <v>100000000</v>
      </c>
      <c r="D45" s="136">
        <v>100000000</v>
      </c>
      <c r="E45" s="136"/>
      <c r="F45" s="136"/>
      <c r="G45" s="136"/>
      <c r="H45" s="136">
        <v>100000000</v>
      </c>
      <c r="I45" s="136">
        <f aca="true" t="shared" si="14" ref="I45:I50">C45-H45</f>
        <v>0</v>
      </c>
      <c r="J45" s="136"/>
      <c r="K45" s="136">
        <f aca="true" t="shared" si="15" ref="K45:K50">C45-H45-J45</f>
        <v>0</v>
      </c>
      <c r="L45" s="272"/>
      <c r="M45" s="272"/>
      <c r="N45" s="272"/>
      <c r="O45" s="272"/>
      <c r="P45" s="272"/>
      <c r="Q45" s="271"/>
      <c r="R45" s="271"/>
      <c r="S45" s="271"/>
      <c r="T45" s="271"/>
      <c r="U45" s="272"/>
      <c r="V45" s="272"/>
    </row>
    <row r="46" spans="1:22" s="143" customFormat="1" ht="18" customHeight="1">
      <c r="A46" s="218">
        <v>2</v>
      </c>
      <c r="B46" s="194" t="s">
        <v>254</v>
      </c>
      <c r="C46" s="136">
        <f t="shared" si="13"/>
        <v>520000000</v>
      </c>
      <c r="D46" s="136">
        <v>3819000000</v>
      </c>
      <c r="E46" s="136">
        <v>410000000</v>
      </c>
      <c r="F46" s="136"/>
      <c r="G46" s="136">
        <f>-3519000000-190000000</f>
        <v>-3709000000</v>
      </c>
      <c r="H46" s="136">
        <v>520000000</v>
      </c>
      <c r="I46" s="136">
        <f t="shared" si="14"/>
        <v>0</v>
      </c>
      <c r="J46" s="136"/>
      <c r="K46" s="136">
        <f t="shared" si="15"/>
        <v>0</v>
      </c>
      <c r="L46" s="272"/>
      <c r="M46" s="272"/>
      <c r="N46" s="272"/>
      <c r="O46" s="272"/>
      <c r="P46" s="272"/>
      <c r="Q46" s="271"/>
      <c r="R46" s="271"/>
      <c r="S46" s="271"/>
      <c r="T46" s="271"/>
      <c r="U46" s="272"/>
      <c r="V46" s="272"/>
    </row>
    <row r="47" spans="1:22" s="143" customFormat="1" ht="18" customHeight="1">
      <c r="A47" s="218">
        <v>3</v>
      </c>
      <c r="B47" s="194" t="s">
        <v>559</v>
      </c>
      <c r="C47" s="136">
        <f t="shared" si="13"/>
        <v>515000000</v>
      </c>
      <c r="D47" s="136">
        <v>96000000</v>
      </c>
      <c r="E47" s="136"/>
      <c r="F47" s="136">
        <v>419000000</v>
      </c>
      <c r="G47" s="136"/>
      <c r="H47" s="136">
        <v>515000000</v>
      </c>
      <c r="I47" s="136">
        <f t="shared" si="14"/>
        <v>0</v>
      </c>
      <c r="J47" s="136"/>
      <c r="K47" s="136">
        <f t="shared" si="15"/>
        <v>0</v>
      </c>
      <c r="L47" s="272"/>
      <c r="M47" s="272"/>
      <c r="N47" s="272"/>
      <c r="O47" s="272"/>
      <c r="P47" s="272"/>
      <c r="Q47" s="271"/>
      <c r="R47" s="271"/>
      <c r="S47" s="271"/>
      <c r="T47" s="271"/>
      <c r="U47" s="272"/>
      <c r="V47" s="272"/>
    </row>
    <row r="48" spans="1:22" s="143" customFormat="1" ht="18" customHeight="1">
      <c r="A48" s="218">
        <v>4</v>
      </c>
      <c r="B48" s="194" t="s">
        <v>257</v>
      </c>
      <c r="C48" s="136">
        <f t="shared" si="13"/>
        <v>3000000</v>
      </c>
      <c r="D48" s="136"/>
      <c r="E48" s="136">
        <v>108000000</v>
      </c>
      <c r="F48" s="136"/>
      <c r="G48" s="136">
        <v>-105000000</v>
      </c>
      <c r="H48" s="136">
        <v>3000000</v>
      </c>
      <c r="I48" s="136">
        <f t="shared" si="14"/>
        <v>0</v>
      </c>
      <c r="J48" s="136"/>
      <c r="K48" s="136">
        <f t="shared" si="15"/>
        <v>0</v>
      </c>
      <c r="L48" s="272"/>
      <c r="M48" s="272"/>
      <c r="N48" s="272"/>
      <c r="O48" s="272"/>
      <c r="P48" s="272"/>
      <c r="Q48" s="271"/>
      <c r="R48" s="271"/>
      <c r="S48" s="271"/>
      <c r="T48" s="271"/>
      <c r="U48" s="272"/>
      <c r="V48" s="272"/>
    </row>
    <row r="49" spans="1:22" s="143" customFormat="1" ht="18" customHeight="1">
      <c r="A49" s="218">
        <v>5</v>
      </c>
      <c r="B49" s="194" t="s">
        <v>548</v>
      </c>
      <c r="C49" s="136">
        <f t="shared" si="13"/>
        <v>3088674000</v>
      </c>
      <c r="D49" s="136"/>
      <c r="E49" s="136"/>
      <c r="F49" s="136">
        <v>3088674000</v>
      </c>
      <c r="G49" s="136"/>
      <c r="H49" s="136">
        <v>3088674000</v>
      </c>
      <c r="I49" s="136">
        <f t="shared" si="14"/>
        <v>0</v>
      </c>
      <c r="J49" s="136"/>
      <c r="K49" s="136">
        <f t="shared" si="15"/>
        <v>0</v>
      </c>
      <c r="L49" s="272"/>
      <c r="M49" s="272"/>
      <c r="N49" s="272"/>
      <c r="O49" s="272"/>
      <c r="P49" s="272"/>
      <c r="Q49" s="271"/>
      <c r="R49" s="271"/>
      <c r="S49" s="271"/>
      <c r="T49" s="271"/>
      <c r="U49" s="272"/>
      <c r="V49" s="272"/>
    </row>
    <row r="50" spans="1:22" s="143" customFormat="1" ht="18" customHeight="1">
      <c r="A50" s="392">
        <v>6</v>
      </c>
      <c r="B50" s="301" t="s">
        <v>592</v>
      </c>
      <c r="C50" s="142">
        <f t="shared" si="13"/>
        <v>5246760060</v>
      </c>
      <c r="D50" s="142">
        <v>7210000000</v>
      </c>
      <c r="E50" s="142">
        <v>9580292000</v>
      </c>
      <c r="F50" s="142">
        <v>84029560</v>
      </c>
      <c r="G50" s="142">
        <f>-2311366940+190000000+105000000-9611194560</f>
        <v>-11627561500</v>
      </c>
      <c r="H50" s="142">
        <f>9611194560+4579112500+288618000-9611194560</f>
        <v>4867730500</v>
      </c>
      <c r="I50" s="142">
        <f t="shared" si="14"/>
        <v>379029560</v>
      </c>
      <c r="J50" s="142">
        <f>295000000+84029560</f>
        <v>379029560</v>
      </c>
      <c r="K50" s="142">
        <f t="shared" si="15"/>
        <v>0</v>
      </c>
      <c r="L50" s="272"/>
      <c r="M50" s="272"/>
      <c r="N50" s="272"/>
      <c r="O50" s="272"/>
      <c r="P50" s="272"/>
      <c r="Q50" s="271"/>
      <c r="R50" s="271"/>
      <c r="S50" s="271"/>
      <c r="T50" s="271"/>
      <c r="U50" s="272"/>
      <c r="V50" s="272"/>
    </row>
    <row r="53" spans="4:20" s="143" customFormat="1" ht="15" customHeight="1" hidden="1">
      <c r="D53" s="271">
        <f>D9-'Biểu 56'!C10</f>
        <v>0</v>
      </c>
      <c r="E53" s="388">
        <v>27777370024</v>
      </c>
      <c r="F53" s="143" t="s">
        <v>594</v>
      </c>
      <c r="Q53" s="271"/>
      <c r="R53" s="271"/>
      <c r="S53" s="271"/>
      <c r="T53" s="271"/>
    </row>
    <row r="54" spans="4:20" s="143" customFormat="1" ht="15" customHeight="1" hidden="1">
      <c r="D54" s="271">
        <f>D9+'Biểu 55'!C11</f>
        <v>575440200000</v>
      </c>
      <c r="E54" s="388">
        <f>E53-E9</f>
        <v>17228070</v>
      </c>
      <c r="F54" s="143" t="s">
        <v>593</v>
      </c>
      <c r="Q54" s="271"/>
      <c r="R54" s="271"/>
      <c r="S54" s="271"/>
      <c r="T54" s="271"/>
    </row>
  </sheetData>
  <sheetProtection/>
  <mergeCells count="9">
    <mergeCell ref="J1:K1"/>
    <mergeCell ref="J5:K5"/>
    <mergeCell ref="A6:A7"/>
    <mergeCell ref="B6:B7"/>
    <mergeCell ref="C6:C7"/>
    <mergeCell ref="D6:G6"/>
    <mergeCell ref="H6:H7"/>
    <mergeCell ref="I6:I7"/>
    <mergeCell ref="J6:K6"/>
  </mergeCells>
  <printOptions/>
  <pageMargins left="0.27" right="0" top="0.54" bottom="0.72" header="0" footer="0.25"/>
  <pageSetup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45"/>
  <sheetViews>
    <sheetView zoomScalePageLayoutView="0" workbookViewId="0" topLeftCell="I1">
      <selection activeCell="Q15" sqref="Q15"/>
    </sheetView>
  </sheetViews>
  <sheetFormatPr defaultColWidth="8.796875" defaultRowHeight="15"/>
  <cols>
    <col min="1" max="1" width="4" style="144" customWidth="1"/>
    <col min="2" max="2" width="14" style="144" customWidth="1"/>
    <col min="3" max="3" width="11.796875" style="144" customWidth="1"/>
    <col min="4" max="4" width="10.3984375" style="144" customWidth="1"/>
    <col min="5" max="5" width="5.69921875" style="144" customWidth="1"/>
    <col min="6" max="6" width="4.296875" style="144" customWidth="1"/>
    <col min="7" max="7" width="10.3984375" style="144" customWidth="1"/>
    <col min="8" max="8" width="9.8984375" style="144" customWidth="1"/>
    <col min="9" max="9" width="4.69921875" style="144" customWidth="1"/>
    <col min="10" max="12" width="10.19921875" style="144" customWidth="1"/>
    <col min="13" max="13" width="10.69921875" style="144" customWidth="1"/>
    <col min="14" max="14" width="10.8984375" style="144" customWidth="1"/>
    <col min="15" max="15" width="10.69921875" style="144" customWidth="1"/>
    <col min="16" max="16" width="12.19921875" style="144" customWidth="1"/>
    <col min="17" max="17" width="11.09765625" style="144" customWidth="1"/>
    <col min="18" max="18" width="5.69921875" style="144" customWidth="1"/>
    <col min="19" max="19" width="5.09765625" style="144" customWidth="1"/>
    <col min="20" max="20" width="11.796875" style="144" customWidth="1"/>
    <col min="21" max="21" width="10.19921875" style="144" customWidth="1"/>
    <col min="22" max="22" width="6" style="144" customWidth="1"/>
    <col min="23" max="24" width="10.796875" style="144" customWidth="1"/>
    <col min="25" max="25" width="10.19921875" style="144" customWidth="1"/>
    <col min="26" max="26" width="11.296875" style="144" customWidth="1"/>
    <col min="27" max="27" width="10.69921875" style="144" customWidth="1"/>
    <col min="28" max="28" width="11.796875" style="144" customWidth="1"/>
    <col min="29" max="29" width="10.69921875" style="144" customWidth="1"/>
    <col min="30" max="34" width="8.09765625" style="144" customWidth="1"/>
    <col min="35" max="16384" width="9" style="144" customWidth="1"/>
  </cols>
  <sheetData>
    <row r="1" spans="1:33" ht="20.25" customHeight="1">
      <c r="A1" s="152"/>
      <c r="B1" s="152"/>
      <c r="C1" s="152"/>
      <c r="D1" s="152"/>
      <c r="E1" s="152"/>
      <c r="F1" s="152"/>
      <c r="G1" s="152"/>
      <c r="H1" s="152"/>
      <c r="I1" s="152"/>
      <c r="K1" s="152"/>
      <c r="L1" s="152"/>
      <c r="M1" s="152"/>
      <c r="N1" s="730" t="s">
        <v>130</v>
      </c>
      <c r="O1" s="730"/>
      <c r="P1" s="153"/>
      <c r="Q1" s="153"/>
      <c r="R1" s="153"/>
      <c r="S1" s="154"/>
      <c r="T1" s="153"/>
      <c r="U1" s="153"/>
      <c r="V1" s="154"/>
      <c r="W1" s="154"/>
      <c r="X1" s="154"/>
      <c r="Y1" s="154"/>
      <c r="Z1" s="154"/>
      <c r="AA1" s="154"/>
      <c r="AB1" s="155"/>
      <c r="AC1" s="155"/>
      <c r="AD1" s="155"/>
      <c r="AE1" s="165"/>
      <c r="AF1" s="165"/>
      <c r="AG1" s="165"/>
    </row>
    <row r="2" spans="1:34" ht="24" customHeight="1">
      <c r="A2" s="731" t="s">
        <v>619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4" ht="17.25" customHeight="1">
      <c r="A3" s="626" t="str">
        <f>'[3]Biểu 48'!A3</f>
        <v>(Kèm theo Nghị quyết số          /NQ-HĐND ngày         /      /2019 của HĐND huyện Tuần Giáo)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</row>
    <row r="4" spans="1:34" ht="16.5" customHeight="1">
      <c r="A4" s="157"/>
      <c r="B4" s="157"/>
      <c r="C4" s="440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728" t="s">
        <v>276</v>
      </c>
      <c r="O4" s="728"/>
      <c r="P4" s="183"/>
      <c r="Q4" s="22"/>
      <c r="R4" s="22"/>
      <c r="S4" s="158"/>
      <c r="T4" s="22"/>
      <c r="U4" s="732"/>
      <c r="V4" s="732"/>
      <c r="W4" s="158"/>
      <c r="X4" s="158"/>
      <c r="Y4" s="158"/>
      <c r="Z4" s="413"/>
      <c r="AA4" s="413"/>
      <c r="AB4" s="413"/>
      <c r="AC4" s="413"/>
      <c r="AD4" s="413"/>
      <c r="AE4" s="413"/>
      <c r="AF4" s="413"/>
      <c r="AG4" s="413"/>
      <c r="AH4" s="413"/>
    </row>
    <row r="5" spans="1:34" s="159" customFormat="1" ht="18" customHeight="1">
      <c r="A5" s="636" t="s">
        <v>61</v>
      </c>
      <c r="B5" s="636" t="s">
        <v>30</v>
      </c>
      <c r="C5" s="636" t="s">
        <v>6</v>
      </c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 t="s">
        <v>60</v>
      </c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6" t="s">
        <v>87</v>
      </c>
      <c r="AE5" s="636"/>
      <c r="AF5" s="636"/>
      <c r="AG5" s="636"/>
      <c r="AH5" s="636"/>
    </row>
    <row r="6" spans="1:34" s="159" customFormat="1" ht="18" customHeight="1">
      <c r="A6" s="636"/>
      <c r="B6" s="636"/>
      <c r="C6" s="717" t="s">
        <v>78</v>
      </c>
      <c r="D6" s="717" t="s">
        <v>24</v>
      </c>
      <c r="E6" s="717"/>
      <c r="F6" s="717"/>
      <c r="G6" s="717" t="s">
        <v>27</v>
      </c>
      <c r="H6" s="717"/>
      <c r="I6" s="717"/>
      <c r="J6" s="717" t="s">
        <v>418</v>
      </c>
      <c r="K6" s="717"/>
      <c r="L6" s="717"/>
      <c r="M6" s="636" t="s">
        <v>77</v>
      </c>
      <c r="N6" s="636"/>
      <c r="O6" s="636"/>
      <c r="P6" s="717" t="s">
        <v>78</v>
      </c>
      <c r="Q6" s="717" t="s">
        <v>24</v>
      </c>
      <c r="R6" s="717"/>
      <c r="S6" s="717"/>
      <c r="T6" s="717" t="s">
        <v>27</v>
      </c>
      <c r="U6" s="717"/>
      <c r="V6" s="717"/>
      <c r="W6" s="717" t="s">
        <v>418</v>
      </c>
      <c r="X6" s="717"/>
      <c r="Y6" s="717"/>
      <c r="Z6" s="717" t="s">
        <v>77</v>
      </c>
      <c r="AA6" s="717"/>
      <c r="AB6" s="717"/>
      <c r="AC6" s="717" t="s">
        <v>67</v>
      </c>
      <c r="AD6" s="717" t="s">
        <v>78</v>
      </c>
      <c r="AE6" s="717" t="s">
        <v>24</v>
      </c>
      <c r="AF6" s="717" t="s">
        <v>27</v>
      </c>
      <c r="AG6" s="717" t="s">
        <v>418</v>
      </c>
      <c r="AH6" s="717" t="s">
        <v>77</v>
      </c>
    </row>
    <row r="7" spans="1:34" s="159" customFormat="1" ht="18" customHeight="1">
      <c r="A7" s="636"/>
      <c r="B7" s="636"/>
      <c r="C7" s="717"/>
      <c r="D7" s="717" t="s">
        <v>78</v>
      </c>
      <c r="E7" s="733" t="s">
        <v>31</v>
      </c>
      <c r="F7" s="733"/>
      <c r="G7" s="717" t="s">
        <v>78</v>
      </c>
      <c r="H7" s="733" t="s">
        <v>31</v>
      </c>
      <c r="I7" s="733"/>
      <c r="J7" s="717" t="s">
        <v>78</v>
      </c>
      <c r="K7" s="733" t="s">
        <v>31</v>
      </c>
      <c r="L7" s="733"/>
      <c r="M7" s="717" t="s">
        <v>78</v>
      </c>
      <c r="N7" s="733" t="s">
        <v>31</v>
      </c>
      <c r="O7" s="733"/>
      <c r="P7" s="717"/>
      <c r="Q7" s="717" t="s">
        <v>78</v>
      </c>
      <c r="R7" s="733" t="s">
        <v>31</v>
      </c>
      <c r="S7" s="733"/>
      <c r="T7" s="717" t="s">
        <v>78</v>
      </c>
      <c r="U7" s="733" t="s">
        <v>31</v>
      </c>
      <c r="V7" s="733"/>
      <c r="W7" s="717" t="s">
        <v>78</v>
      </c>
      <c r="X7" s="733" t="s">
        <v>31</v>
      </c>
      <c r="Y7" s="733"/>
      <c r="Z7" s="717" t="s">
        <v>78</v>
      </c>
      <c r="AA7" s="733" t="s">
        <v>31</v>
      </c>
      <c r="AB7" s="733"/>
      <c r="AC7" s="717" t="s">
        <v>73</v>
      </c>
      <c r="AD7" s="717"/>
      <c r="AE7" s="717"/>
      <c r="AF7" s="717"/>
      <c r="AG7" s="717"/>
      <c r="AH7" s="717"/>
    </row>
    <row r="8" spans="1:34" s="159" customFormat="1" ht="12" customHeight="1">
      <c r="A8" s="636"/>
      <c r="B8" s="636"/>
      <c r="C8" s="717"/>
      <c r="D8" s="717"/>
      <c r="E8" s="715" t="s">
        <v>320</v>
      </c>
      <c r="F8" s="715" t="s">
        <v>79</v>
      </c>
      <c r="G8" s="717"/>
      <c r="H8" s="715" t="s">
        <v>320</v>
      </c>
      <c r="I8" s="715" t="s">
        <v>79</v>
      </c>
      <c r="J8" s="717"/>
      <c r="K8" s="717" t="s">
        <v>24</v>
      </c>
      <c r="L8" s="715" t="s">
        <v>27</v>
      </c>
      <c r="M8" s="717"/>
      <c r="N8" s="717" t="s">
        <v>24</v>
      </c>
      <c r="O8" s="717" t="s">
        <v>27</v>
      </c>
      <c r="P8" s="717"/>
      <c r="Q8" s="717"/>
      <c r="R8" s="715" t="s">
        <v>320</v>
      </c>
      <c r="S8" s="715" t="s">
        <v>79</v>
      </c>
      <c r="T8" s="717"/>
      <c r="U8" s="715" t="s">
        <v>320</v>
      </c>
      <c r="V8" s="715" t="s">
        <v>79</v>
      </c>
      <c r="W8" s="717"/>
      <c r="X8" s="717" t="s">
        <v>24</v>
      </c>
      <c r="Y8" s="715" t="s">
        <v>27</v>
      </c>
      <c r="Z8" s="717"/>
      <c r="AA8" s="717" t="s">
        <v>24</v>
      </c>
      <c r="AB8" s="717" t="s">
        <v>27</v>
      </c>
      <c r="AC8" s="717" t="s">
        <v>52</v>
      </c>
      <c r="AD8" s="717"/>
      <c r="AE8" s="717"/>
      <c r="AF8" s="717"/>
      <c r="AG8" s="717"/>
      <c r="AH8" s="717"/>
    </row>
    <row r="9" spans="1:34" s="159" customFormat="1" ht="12" customHeight="1">
      <c r="A9" s="636"/>
      <c r="B9" s="636"/>
      <c r="C9" s="717"/>
      <c r="D9" s="717"/>
      <c r="E9" s="715" t="s">
        <v>82</v>
      </c>
      <c r="F9" s="715" t="s">
        <v>82</v>
      </c>
      <c r="G9" s="717"/>
      <c r="H9" s="715" t="s">
        <v>82</v>
      </c>
      <c r="I9" s="715" t="s">
        <v>82</v>
      </c>
      <c r="J9" s="717"/>
      <c r="K9" s="717"/>
      <c r="L9" s="715"/>
      <c r="M9" s="717"/>
      <c r="N9" s="717"/>
      <c r="O9" s="717"/>
      <c r="P9" s="717"/>
      <c r="Q9" s="717"/>
      <c r="R9" s="715" t="s">
        <v>82</v>
      </c>
      <c r="S9" s="715" t="s">
        <v>82</v>
      </c>
      <c r="T9" s="717"/>
      <c r="U9" s="715" t="s">
        <v>82</v>
      </c>
      <c r="V9" s="715" t="s">
        <v>82</v>
      </c>
      <c r="W9" s="717"/>
      <c r="X9" s="717"/>
      <c r="Y9" s="715"/>
      <c r="Z9" s="717"/>
      <c r="AA9" s="717"/>
      <c r="AB9" s="717"/>
      <c r="AC9" s="717" t="s">
        <v>74</v>
      </c>
      <c r="AD9" s="717"/>
      <c r="AE9" s="717"/>
      <c r="AF9" s="717"/>
      <c r="AG9" s="717"/>
      <c r="AH9" s="717"/>
    </row>
    <row r="10" spans="1:34" s="159" customFormat="1" ht="12" customHeight="1">
      <c r="A10" s="636"/>
      <c r="B10" s="636"/>
      <c r="C10" s="717"/>
      <c r="D10" s="717"/>
      <c r="E10" s="715" t="s">
        <v>49</v>
      </c>
      <c r="F10" s="715" t="s">
        <v>49</v>
      </c>
      <c r="G10" s="717"/>
      <c r="H10" s="715" t="s">
        <v>49</v>
      </c>
      <c r="I10" s="715" t="s">
        <v>49</v>
      </c>
      <c r="J10" s="717"/>
      <c r="K10" s="717"/>
      <c r="L10" s="715"/>
      <c r="M10" s="717"/>
      <c r="N10" s="717"/>
      <c r="O10" s="717"/>
      <c r="P10" s="717"/>
      <c r="Q10" s="717"/>
      <c r="R10" s="715" t="s">
        <v>49</v>
      </c>
      <c r="S10" s="715" t="s">
        <v>49</v>
      </c>
      <c r="T10" s="717"/>
      <c r="U10" s="715" t="s">
        <v>49</v>
      </c>
      <c r="V10" s="715" t="s">
        <v>49</v>
      </c>
      <c r="W10" s="717"/>
      <c r="X10" s="717"/>
      <c r="Y10" s="715"/>
      <c r="Z10" s="717"/>
      <c r="AA10" s="717"/>
      <c r="AB10" s="717"/>
      <c r="AC10" s="717" t="s">
        <v>38</v>
      </c>
      <c r="AD10" s="717"/>
      <c r="AE10" s="717"/>
      <c r="AF10" s="717"/>
      <c r="AG10" s="717"/>
      <c r="AH10" s="717"/>
    </row>
    <row r="11" spans="1:34" s="159" customFormat="1" ht="12" customHeight="1">
      <c r="A11" s="636"/>
      <c r="B11" s="636"/>
      <c r="C11" s="717"/>
      <c r="D11" s="717"/>
      <c r="E11" s="715" t="s">
        <v>50</v>
      </c>
      <c r="F11" s="715" t="s">
        <v>50</v>
      </c>
      <c r="G11" s="717"/>
      <c r="H11" s="715" t="s">
        <v>50</v>
      </c>
      <c r="I11" s="715" t="s">
        <v>50</v>
      </c>
      <c r="J11" s="717"/>
      <c r="K11" s="717"/>
      <c r="L11" s="715"/>
      <c r="M11" s="717"/>
      <c r="N11" s="717"/>
      <c r="O11" s="717"/>
      <c r="P11" s="717"/>
      <c r="Q11" s="717"/>
      <c r="R11" s="715" t="s">
        <v>50</v>
      </c>
      <c r="S11" s="715" t="s">
        <v>50</v>
      </c>
      <c r="T11" s="717"/>
      <c r="U11" s="715" t="s">
        <v>50</v>
      </c>
      <c r="V11" s="715" t="s">
        <v>50</v>
      </c>
      <c r="W11" s="717"/>
      <c r="X11" s="717"/>
      <c r="Y11" s="715"/>
      <c r="Z11" s="717"/>
      <c r="AA11" s="717"/>
      <c r="AB11" s="717"/>
      <c r="AC11" s="717" t="s">
        <v>75</v>
      </c>
      <c r="AD11" s="717"/>
      <c r="AE11" s="717"/>
      <c r="AF11" s="717"/>
      <c r="AG11" s="717"/>
      <c r="AH11" s="717"/>
    </row>
    <row r="12" spans="1:34" s="159" customFormat="1" ht="12" customHeight="1">
      <c r="A12" s="636"/>
      <c r="B12" s="636"/>
      <c r="C12" s="717"/>
      <c r="D12" s="717"/>
      <c r="E12" s="715" t="s">
        <v>51</v>
      </c>
      <c r="F12" s="715" t="s">
        <v>51</v>
      </c>
      <c r="G12" s="717"/>
      <c r="H12" s="715" t="s">
        <v>51</v>
      </c>
      <c r="I12" s="715" t="s">
        <v>51</v>
      </c>
      <c r="J12" s="717"/>
      <c r="K12" s="717"/>
      <c r="L12" s="715"/>
      <c r="M12" s="717"/>
      <c r="N12" s="717"/>
      <c r="O12" s="717"/>
      <c r="P12" s="717"/>
      <c r="Q12" s="717"/>
      <c r="R12" s="715" t="s">
        <v>51</v>
      </c>
      <c r="S12" s="715" t="s">
        <v>51</v>
      </c>
      <c r="T12" s="717"/>
      <c r="U12" s="715" t="s">
        <v>51</v>
      </c>
      <c r="V12" s="715" t="s">
        <v>51</v>
      </c>
      <c r="W12" s="717"/>
      <c r="X12" s="717"/>
      <c r="Y12" s="715"/>
      <c r="Z12" s="717"/>
      <c r="AA12" s="717"/>
      <c r="AB12" s="717"/>
      <c r="AC12" s="717"/>
      <c r="AD12" s="717"/>
      <c r="AE12" s="717"/>
      <c r="AF12" s="717"/>
      <c r="AG12" s="717"/>
      <c r="AH12" s="717"/>
    </row>
    <row r="13" spans="1:34" s="159" customFormat="1" ht="12" customHeight="1">
      <c r="A13" s="636"/>
      <c r="B13" s="636"/>
      <c r="C13" s="717"/>
      <c r="D13" s="717"/>
      <c r="E13" s="715" t="s">
        <v>43</v>
      </c>
      <c r="F13" s="715" t="s">
        <v>43</v>
      </c>
      <c r="G13" s="717"/>
      <c r="H13" s="715" t="s">
        <v>43</v>
      </c>
      <c r="I13" s="715" t="s">
        <v>43</v>
      </c>
      <c r="J13" s="717"/>
      <c r="K13" s="717"/>
      <c r="L13" s="715"/>
      <c r="M13" s="717"/>
      <c r="N13" s="717"/>
      <c r="O13" s="717"/>
      <c r="P13" s="717"/>
      <c r="Q13" s="717"/>
      <c r="R13" s="715" t="s">
        <v>43</v>
      </c>
      <c r="S13" s="715" t="s">
        <v>43</v>
      </c>
      <c r="T13" s="717"/>
      <c r="U13" s="715" t="s">
        <v>43</v>
      </c>
      <c r="V13" s="715" t="s">
        <v>43</v>
      </c>
      <c r="W13" s="717"/>
      <c r="X13" s="717"/>
      <c r="Y13" s="715"/>
      <c r="Z13" s="717"/>
      <c r="AA13" s="717"/>
      <c r="AB13" s="717"/>
      <c r="AC13" s="717"/>
      <c r="AD13" s="717"/>
      <c r="AE13" s="717"/>
      <c r="AF13" s="717"/>
      <c r="AG13" s="717"/>
      <c r="AH13" s="717"/>
    </row>
    <row r="14" spans="1:34" s="160" customFormat="1" ht="14.25" customHeight="1">
      <c r="A14" s="164" t="s">
        <v>9</v>
      </c>
      <c r="B14" s="164" t="s">
        <v>10</v>
      </c>
      <c r="C14" s="164">
        <v>1</v>
      </c>
      <c r="D14" s="164">
        <v>2</v>
      </c>
      <c r="E14" s="164">
        <v>3</v>
      </c>
      <c r="F14" s="164">
        <v>4</v>
      </c>
      <c r="G14" s="164">
        <v>5</v>
      </c>
      <c r="H14" s="164">
        <v>6</v>
      </c>
      <c r="I14" s="164">
        <v>7</v>
      </c>
      <c r="J14" s="164">
        <v>8</v>
      </c>
      <c r="K14" s="164">
        <v>9</v>
      </c>
      <c r="L14" s="164">
        <v>10</v>
      </c>
      <c r="M14" s="164">
        <v>11</v>
      </c>
      <c r="N14" s="164">
        <v>9</v>
      </c>
      <c r="O14" s="164">
        <v>13</v>
      </c>
      <c r="P14" s="164">
        <v>14</v>
      </c>
      <c r="Q14" s="164">
        <v>15</v>
      </c>
      <c r="R14" s="164">
        <v>16</v>
      </c>
      <c r="S14" s="164">
        <v>17</v>
      </c>
      <c r="T14" s="164">
        <v>18</v>
      </c>
      <c r="U14" s="164">
        <v>19</v>
      </c>
      <c r="V14" s="164">
        <v>20</v>
      </c>
      <c r="W14" s="164">
        <v>21</v>
      </c>
      <c r="X14" s="164">
        <v>22</v>
      </c>
      <c r="Y14" s="164">
        <v>23</v>
      </c>
      <c r="Z14" s="164">
        <v>24</v>
      </c>
      <c r="AA14" s="164">
        <v>22</v>
      </c>
      <c r="AB14" s="164">
        <v>26</v>
      </c>
      <c r="AC14" s="164">
        <v>27</v>
      </c>
      <c r="AD14" s="164" t="s">
        <v>419</v>
      </c>
      <c r="AE14" s="164" t="s">
        <v>420</v>
      </c>
      <c r="AF14" s="164" t="s">
        <v>421</v>
      </c>
      <c r="AG14" s="164" t="s">
        <v>422</v>
      </c>
      <c r="AH14" s="164" t="s">
        <v>423</v>
      </c>
    </row>
    <row r="15" spans="1:34" s="369" customFormat="1" ht="19.5" customHeight="1">
      <c r="A15" s="365"/>
      <c r="B15" s="366" t="s">
        <v>29</v>
      </c>
      <c r="C15" s="549">
        <f aca="true" t="shared" si="0" ref="C15:AC15">SUM(C16:C34)</f>
        <v>134093120127</v>
      </c>
      <c r="D15" s="549">
        <f>SUM(D16:D34)</f>
        <v>7997746526</v>
      </c>
      <c r="E15" s="549">
        <f t="shared" si="0"/>
        <v>0</v>
      </c>
      <c r="F15" s="549">
        <f t="shared" si="0"/>
        <v>0</v>
      </c>
      <c r="G15" s="549">
        <f t="shared" si="0"/>
        <v>88897756721</v>
      </c>
      <c r="H15" s="549">
        <f t="shared" si="0"/>
        <v>1428788000</v>
      </c>
      <c r="I15" s="549">
        <f t="shared" si="0"/>
        <v>0</v>
      </c>
      <c r="J15" s="549">
        <f t="shared" si="0"/>
        <v>16469857940</v>
      </c>
      <c r="K15" s="549">
        <f t="shared" si="0"/>
        <v>10860000000</v>
      </c>
      <c r="L15" s="549">
        <f t="shared" si="0"/>
        <v>5609857940</v>
      </c>
      <c r="M15" s="549">
        <f t="shared" si="0"/>
        <v>20727758940</v>
      </c>
      <c r="N15" s="549">
        <f>SUM(N16:N34)</f>
        <v>7032240000</v>
      </c>
      <c r="O15" s="549">
        <f t="shared" si="0"/>
        <v>13695518940</v>
      </c>
      <c r="P15" s="549">
        <f t="shared" si="0"/>
        <v>134093120127</v>
      </c>
      <c r="Q15" s="549">
        <f t="shared" si="0"/>
        <v>5483352600</v>
      </c>
      <c r="R15" s="549">
        <f t="shared" si="0"/>
        <v>0</v>
      </c>
      <c r="S15" s="549">
        <f t="shared" si="0"/>
        <v>0</v>
      </c>
      <c r="T15" s="549">
        <f>SUM(T16:T34)</f>
        <v>84287780334</v>
      </c>
      <c r="U15" s="549">
        <f t="shared" si="0"/>
        <v>1061999477</v>
      </c>
      <c r="V15" s="549">
        <f t="shared" si="0"/>
        <v>0</v>
      </c>
      <c r="W15" s="549">
        <f>SUM(W16:W34)</f>
        <v>15929857940</v>
      </c>
      <c r="X15" s="549">
        <f>SUM(X16:X34)</f>
        <v>10320000000</v>
      </c>
      <c r="Y15" s="549">
        <f>SUM(Y16:Y34)</f>
        <v>5609857940</v>
      </c>
      <c r="Z15" s="549">
        <f t="shared" si="0"/>
        <v>20163859940</v>
      </c>
      <c r="AA15" s="549">
        <f>SUM(AA16:AA34)</f>
        <v>6468341000</v>
      </c>
      <c r="AB15" s="549">
        <f t="shared" si="0"/>
        <v>13695518940</v>
      </c>
      <c r="AC15" s="549">
        <f t="shared" si="0"/>
        <v>8228269313</v>
      </c>
      <c r="AD15" s="435">
        <f>P15/C15</f>
        <v>1</v>
      </c>
      <c r="AE15" s="435">
        <f>Q15/D15</f>
        <v>0.6856122011586743</v>
      </c>
      <c r="AF15" s="435">
        <f aca="true" t="shared" si="1" ref="AF15:AF34">T15/G15</f>
        <v>0.9481429390679889</v>
      </c>
      <c r="AG15" s="435"/>
      <c r="AH15" s="435">
        <f aca="true" t="shared" si="2" ref="AH15:AH20">Z15/M15</f>
        <v>0.9727949846564551</v>
      </c>
    </row>
    <row r="16" spans="1:34" s="22" customFormat="1" ht="16.5" customHeight="1">
      <c r="A16" s="168" t="s">
        <v>378</v>
      </c>
      <c r="B16" s="169" t="s">
        <v>379</v>
      </c>
      <c r="C16" s="550">
        <f aca="true" t="shared" si="3" ref="C16:C34">D16+J16+G16+M16</f>
        <v>9550331795</v>
      </c>
      <c r="D16" s="550">
        <v>1082164000</v>
      </c>
      <c r="E16" s="550"/>
      <c r="F16" s="550"/>
      <c r="G16" s="550">
        <v>6243155695</v>
      </c>
      <c r="H16" s="550">
        <v>94442000</v>
      </c>
      <c r="I16" s="550"/>
      <c r="J16" s="550">
        <f>K16+L16</f>
        <v>1193979000</v>
      </c>
      <c r="K16" s="550">
        <v>380000000</v>
      </c>
      <c r="L16" s="550">
        <v>813979000</v>
      </c>
      <c r="M16" s="550">
        <f>N16+O16</f>
        <v>1031033100</v>
      </c>
      <c r="N16" s="550">
        <v>70000000</v>
      </c>
      <c r="O16" s="550">
        <v>961033100</v>
      </c>
      <c r="P16" s="550">
        <f>Q16+W16+T16+Z16+AC16</f>
        <v>9550331795</v>
      </c>
      <c r="Q16" s="550"/>
      <c r="R16" s="550"/>
      <c r="S16" s="550"/>
      <c r="T16" s="550">
        <v>6035987133</v>
      </c>
      <c r="U16" s="550">
        <v>37932000</v>
      </c>
      <c r="V16" s="550"/>
      <c r="W16" s="550">
        <f>X16+Y16</f>
        <v>1193979000</v>
      </c>
      <c r="X16" s="550">
        <v>380000000</v>
      </c>
      <c r="Y16" s="550">
        <v>813979000</v>
      </c>
      <c r="Z16" s="550">
        <f>AA16+AB16</f>
        <v>961033100</v>
      </c>
      <c r="AA16" s="550">
        <v>0</v>
      </c>
      <c r="AB16" s="552">
        <v>961033100</v>
      </c>
      <c r="AC16" s="550">
        <v>1359332562</v>
      </c>
      <c r="AD16" s="175">
        <f aca="true" t="shared" si="4" ref="AD16:AD34">P16/C16</f>
        <v>1</v>
      </c>
      <c r="AE16" s="175"/>
      <c r="AF16" s="175">
        <f t="shared" si="1"/>
        <v>0.9668166914104166</v>
      </c>
      <c r="AG16" s="175"/>
      <c r="AH16" s="175">
        <f t="shared" si="2"/>
        <v>0.9321069323574578</v>
      </c>
    </row>
    <row r="17" spans="1:34" s="22" customFormat="1" ht="16.5" customHeight="1">
      <c r="A17" s="168" t="s">
        <v>380</v>
      </c>
      <c r="B17" s="169" t="s">
        <v>381</v>
      </c>
      <c r="C17" s="550">
        <f t="shared" si="3"/>
        <v>5669459232</v>
      </c>
      <c r="D17" s="550"/>
      <c r="E17" s="550"/>
      <c r="F17" s="550"/>
      <c r="G17" s="550">
        <v>4377592037</v>
      </c>
      <c r="H17" s="550">
        <v>66120000</v>
      </c>
      <c r="I17" s="550"/>
      <c r="J17" s="550">
        <f aca="true" t="shared" si="5" ref="J17:J34">K17+L17</f>
        <v>568187000</v>
      </c>
      <c r="K17" s="550"/>
      <c r="L17" s="550">
        <v>568187000</v>
      </c>
      <c r="M17" s="550">
        <f aca="true" t="shared" si="6" ref="M17:M33">N17+O17</f>
        <v>723680195</v>
      </c>
      <c r="N17" s="550">
        <v>64900000</v>
      </c>
      <c r="O17" s="550">
        <v>658780195</v>
      </c>
      <c r="P17" s="550">
        <f aca="true" t="shared" si="7" ref="P17:P34">Q17+W17+T17+Z17+AC17</f>
        <v>5669459232</v>
      </c>
      <c r="Q17" s="550"/>
      <c r="R17" s="550"/>
      <c r="S17" s="550"/>
      <c r="T17" s="550">
        <v>4152535624</v>
      </c>
      <c r="U17" s="550">
        <v>43672975</v>
      </c>
      <c r="V17" s="550"/>
      <c r="W17" s="550">
        <f aca="true" t="shared" si="8" ref="W17:W34">X17+Y17</f>
        <v>568187000</v>
      </c>
      <c r="X17" s="550"/>
      <c r="Y17" s="550">
        <v>568187000</v>
      </c>
      <c r="Z17" s="550">
        <f aca="true" t="shared" si="9" ref="Z17:Z33">AA17+AB17</f>
        <v>696367195</v>
      </c>
      <c r="AA17" s="550">
        <v>37587000</v>
      </c>
      <c r="AB17" s="552">
        <v>658780195</v>
      </c>
      <c r="AC17" s="550">
        <v>252369413</v>
      </c>
      <c r="AD17" s="175">
        <f t="shared" si="4"/>
        <v>1</v>
      </c>
      <c r="AE17" s="175"/>
      <c r="AF17" s="175">
        <f t="shared" si="1"/>
        <v>0.948588993424286</v>
      </c>
      <c r="AG17" s="175"/>
      <c r="AH17" s="175">
        <f t="shared" si="2"/>
        <v>0.9622581905809927</v>
      </c>
    </row>
    <row r="18" spans="1:34" s="22" customFormat="1" ht="16.5" customHeight="1">
      <c r="A18" s="168" t="s">
        <v>382</v>
      </c>
      <c r="B18" s="169" t="s">
        <v>383</v>
      </c>
      <c r="C18" s="550">
        <f t="shared" si="3"/>
        <v>7263815331</v>
      </c>
      <c r="D18" s="550"/>
      <c r="E18" s="550"/>
      <c r="F18" s="550"/>
      <c r="G18" s="550">
        <v>5017338831</v>
      </c>
      <c r="H18" s="550">
        <v>66550000</v>
      </c>
      <c r="I18" s="550"/>
      <c r="J18" s="550">
        <f t="shared" si="5"/>
        <v>1577662500</v>
      </c>
      <c r="K18" s="550">
        <v>1160000000</v>
      </c>
      <c r="L18" s="550">
        <v>417662500</v>
      </c>
      <c r="M18" s="550">
        <f t="shared" si="6"/>
        <v>668814000</v>
      </c>
      <c r="N18" s="550">
        <v>0</v>
      </c>
      <c r="O18" s="550">
        <v>668814000</v>
      </c>
      <c r="P18" s="550">
        <f t="shared" si="7"/>
        <v>7263815331</v>
      </c>
      <c r="Q18" s="550"/>
      <c r="R18" s="550"/>
      <c r="S18" s="550"/>
      <c r="T18" s="550">
        <v>4812622365</v>
      </c>
      <c r="U18" s="550">
        <v>41590467</v>
      </c>
      <c r="V18" s="550"/>
      <c r="W18" s="550">
        <f t="shared" si="8"/>
        <v>1517662500</v>
      </c>
      <c r="X18" s="550">
        <v>1100000000</v>
      </c>
      <c r="Y18" s="550">
        <v>417662500</v>
      </c>
      <c r="Z18" s="550">
        <f t="shared" si="9"/>
        <v>668814000</v>
      </c>
      <c r="AA18" s="550">
        <v>0</v>
      </c>
      <c r="AB18" s="552">
        <v>668814000</v>
      </c>
      <c r="AC18" s="550">
        <v>264716466</v>
      </c>
      <c r="AD18" s="175">
        <f t="shared" si="4"/>
        <v>1</v>
      </c>
      <c r="AE18" s="175"/>
      <c r="AF18" s="175">
        <f t="shared" si="1"/>
        <v>0.9591981979101861</v>
      </c>
      <c r="AG18" s="175"/>
      <c r="AH18" s="175">
        <f t="shared" si="2"/>
        <v>1</v>
      </c>
    </row>
    <row r="19" spans="1:34" s="22" customFormat="1" ht="16.5" customHeight="1">
      <c r="A19" s="168" t="s">
        <v>384</v>
      </c>
      <c r="B19" s="169" t="s">
        <v>385</v>
      </c>
      <c r="C19" s="550">
        <f t="shared" si="3"/>
        <v>13829073184</v>
      </c>
      <c r="D19" s="550">
        <v>430344600</v>
      </c>
      <c r="E19" s="550"/>
      <c r="F19" s="550"/>
      <c r="G19" s="550">
        <v>6265634864</v>
      </c>
      <c r="H19" s="550">
        <v>77000000</v>
      </c>
      <c r="I19" s="550"/>
      <c r="J19" s="550">
        <f t="shared" si="5"/>
        <v>3213163320</v>
      </c>
      <c r="K19" s="550">
        <v>2900000000</v>
      </c>
      <c r="L19" s="550">
        <v>313163320</v>
      </c>
      <c r="M19" s="550">
        <f t="shared" si="6"/>
        <v>3919930400</v>
      </c>
      <c r="N19" s="550">
        <v>2945043000</v>
      </c>
      <c r="O19" s="550">
        <v>974887400</v>
      </c>
      <c r="P19" s="550">
        <f t="shared" si="7"/>
        <v>13829073184</v>
      </c>
      <c r="Q19" s="550">
        <v>430344600</v>
      </c>
      <c r="R19" s="550"/>
      <c r="S19" s="550"/>
      <c r="T19" s="550">
        <v>5820651136</v>
      </c>
      <c r="U19" s="550">
        <v>64273000</v>
      </c>
      <c r="V19" s="550"/>
      <c r="W19" s="550">
        <f t="shared" si="8"/>
        <v>2893163320</v>
      </c>
      <c r="X19" s="550">
        <v>2580000000</v>
      </c>
      <c r="Y19" s="550">
        <v>313163320</v>
      </c>
      <c r="Z19" s="550">
        <f t="shared" si="9"/>
        <v>3839930400</v>
      </c>
      <c r="AA19" s="550">
        <v>2865043000</v>
      </c>
      <c r="AB19" s="552">
        <v>974887400</v>
      </c>
      <c r="AC19" s="550">
        <v>844983728</v>
      </c>
      <c r="AD19" s="166">
        <f t="shared" si="4"/>
        <v>1</v>
      </c>
      <c r="AE19" s="166"/>
      <c r="AF19" s="166">
        <f t="shared" si="1"/>
        <v>0.9289802649438271</v>
      </c>
      <c r="AG19" s="166"/>
      <c r="AH19" s="166">
        <f t="shared" si="2"/>
        <v>0.979591474379239</v>
      </c>
    </row>
    <row r="20" spans="1:34" s="22" customFormat="1" ht="16.5" customHeight="1">
      <c r="A20" s="168" t="s">
        <v>386</v>
      </c>
      <c r="B20" s="169" t="s">
        <v>387</v>
      </c>
      <c r="C20" s="550">
        <f t="shared" si="3"/>
        <v>7059549086</v>
      </c>
      <c r="D20" s="550">
        <v>865483520</v>
      </c>
      <c r="E20" s="550"/>
      <c r="F20" s="550"/>
      <c r="G20" s="550">
        <v>4894730095</v>
      </c>
      <c r="H20" s="550">
        <v>72000000</v>
      </c>
      <c r="I20" s="550"/>
      <c r="J20" s="550">
        <f t="shared" si="5"/>
        <v>640000000</v>
      </c>
      <c r="K20" s="550">
        <v>640000000</v>
      </c>
      <c r="L20" s="550">
        <v>0</v>
      </c>
      <c r="M20" s="550">
        <f t="shared" si="6"/>
        <v>659335471</v>
      </c>
      <c r="N20" s="550">
        <v>0</v>
      </c>
      <c r="O20" s="550">
        <v>659335471</v>
      </c>
      <c r="P20" s="550">
        <f t="shared" si="7"/>
        <v>7059549086</v>
      </c>
      <c r="Q20" s="550">
        <v>90500000</v>
      </c>
      <c r="R20" s="550"/>
      <c r="S20" s="550"/>
      <c r="T20" s="550">
        <v>4502383350</v>
      </c>
      <c r="U20" s="550">
        <v>71100000</v>
      </c>
      <c r="V20" s="550"/>
      <c r="W20" s="550">
        <f t="shared" si="8"/>
        <v>640000000</v>
      </c>
      <c r="X20" s="550">
        <v>640000000</v>
      </c>
      <c r="Y20" s="550">
        <v>0</v>
      </c>
      <c r="Z20" s="550">
        <f t="shared" si="9"/>
        <v>659335471</v>
      </c>
      <c r="AA20" s="550">
        <v>0</v>
      </c>
      <c r="AB20" s="552">
        <v>659335471</v>
      </c>
      <c r="AC20" s="550">
        <v>1167330265</v>
      </c>
      <c r="AD20" s="166">
        <f t="shared" si="4"/>
        <v>1</v>
      </c>
      <c r="AE20" s="166">
        <f>Q20/D20</f>
        <v>0.10456582697264992</v>
      </c>
      <c r="AF20" s="166">
        <f t="shared" si="1"/>
        <v>0.9198430276266336</v>
      </c>
      <c r="AG20" s="166"/>
      <c r="AH20" s="166">
        <f t="shared" si="2"/>
        <v>1</v>
      </c>
    </row>
    <row r="21" spans="1:34" s="22" customFormat="1" ht="16.5" customHeight="1">
      <c r="A21" s="168" t="s">
        <v>388</v>
      </c>
      <c r="B21" s="169" t="s">
        <v>389</v>
      </c>
      <c r="C21" s="550">
        <f t="shared" si="3"/>
        <v>11469848615</v>
      </c>
      <c r="D21" s="550">
        <v>5314827000</v>
      </c>
      <c r="E21" s="550"/>
      <c r="F21" s="550"/>
      <c r="G21" s="550">
        <v>4495021615</v>
      </c>
      <c r="H21" s="550">
        <v>72000000</v>
      </c>
      <c r="I21" s="550"/>
      <c r="J21" s="550">
        <f t="shared" si="5"/>
        <v>1660000000</v>
      </c>
      <c r="K21" s="550">
        <v>1660000000</v>
      </c>
      <c r="L21" s="550">
        <v>0</v>
      </c>
      <c r="M21" s="550">
        <f t="shared" si="6"/>
        <v>0</v>
      </c>
      <c r="N21" s="550">
        <v>0</v>
      </c>
      <c r="O21" s="550">
        <v>0</v>
      </c>
      <c r="P21" s="550">
        <f t="shared" si="7"/>
        <v>11469848615</v>
      </c>
      <c r="Q21" s="550">
        <v>4877739000</v>
      </c>
      <c r="R21" s="550"/>
      <c r="S21" s="550"/>
      <c r="T21" s="550">
        <v>4471269679</v>
      </c>
      <c r="U21" s="550">
        <v>72000000</v>
      </c>
      <c r="V21" s="550"/>
      <c r="W21" s="550">
        <f t="shared" si="8"/>
        <v>1620000000</v>
      </c>
      <c r="X21" s="550">
        <v>1620000000</v>
      </c>
      <c r="Y21" s="550">
        <v>0</v>
      </c>
      <c r="Z21" s="550">
        <f t="shared" si="9"/>
        <v>0</v>
      </c>
      <c r="AA21" s="550">
        <v>0</v>
      </c>
      <c r="AB21" s="552">
        <v>0</v>
      </c>
      <c r="AC21" s="550">
        <v>500839936</v>
      </c>
      <c r="AD21" s="166">
        <f t="shared" si="4"/>
        <v>1</v>
      </c>
      <c r="AE21" s="166">
        <f>Q21/D21</f>
        <v>0.9177606345418204</v>
      </c>
      <c r="AF21" s="166">
        <f t="shared" si="1"/>
        <v>0.9947159462101941</v>
      </c>
      <c r="AG21" s="166"/>
      <c r="AH21" s="166"/>
    </row>
    <row r="22" spans="1:34" s="22" customFormat="1" ht="16.5" customHeight="1">
      <c r="A22" s="168" t="s">
        <v>390</v>
      </c>
      <c r="B22" s="169" t="s">
        <v>391</v>
      </c>
      <c r="C22" s="550">
        <f t="shared" si="3"/>
        <v>6521831526</v>
      </c>
      <c r="D22" s="550"/>
      <c r="E22" s="550"/>
      <c r="F22" s="550"/>
      <c r="G22" s="550">
        <v>5479387089</v>
      </c>
      <c r="H22" s="550">
        <v>78640000</v>
      </c>
      <c r="I22" s="550"/>
      <c r="J22" s="550">
        <f t="shared" si="5"/>
        <v>186750000</v>
      </c>
      <c r="K22" s="550">
        <v>40000000</v>
      </c>
      <c r="L22" s="550">
        <v>146750000</v>
      </c>
      <c r="M22" s="550">
        <f t="shared" si="6"/>
        <v>855694437</v>
      </c>
      <c r="N22" s="550">
        <v>80000000</v>
      </c>
      <c r="O22" s="550">
        <v>775694437</v>
      </c>
      <c r="P22" s="550">
        <f t="shared" si="7"/>
        <v>6521831526</v>
      </c>
      <c r="Q22" s="550"/>
      <c r="R22" s="550"/>
      <c r="S22" s="550"/>
      <c r="T22" s="550">
        <v>5035135616</v>
      </c>
      <c r="U22" s="550">
        <v>72251000</v>
      </c>
      <c r="V22" s="550"/>
      <c r="W22" s="550">
        <f t="shared" si="8"/>
        <v>186750000</v>
      </c>
      <c r="X22" s="550">
        <v>40000000</v>
      </c>
      <c r="Y22" s="550">
        <v>146750000</v>
      </c>
      <c r="Z22" s="550">
        <f t="shared" si="9"/>
        <v>775694437</v>
      </c>
      <c r="AA22" s="550">
        <v>0</v>
      </c>
      <c r="AB22" s="552">
        <v>775694437</v>
      </c>
      <c r="AC22" s="550">
        <v>524251473</v>
      </c>
      <c r="AD22" s="166">
        <f t="shared" si="4"/>
        <v>1</v>
      </c>
      <c r="AE22" s="166"/>
      <c r="AF22" s="166">
        <f t="shared" si="1"/>
        <v>0.9189231449094287</v>
      </c>
      <c r="AG22" s="166"/>
      <c r="AH22" s="166">
        <f aca="true" t="shared" si="10" ref="AH22:AH34">Z22/M22</f>
        <v>0.9065086828418869</v>
      </c>
    </row>
    <row r="23" spans="1:34" s="22" customFormat="1" ht="16.5" customHeight="1">
      <c r="A23" s="168" t="s">
        <v>392</v>
      </c>
      <c r="B23" s="169" t="s">
        <v>393</v>
      </c>
      <c r="C23" s="550">
        <f t="shared" si="3"/>
        <v>5697604858</v>
      </c>
      <c r="D23" s="550"/>
      <c r="E23" s="550"/>
      <c r="F23" s="550"/>
      <c r="G23" s="550">
        <v>4224202282</v>
      </c>
      <c r="H23" s="550">
        <v>79010000</v>
      </c>
      <c r="I23" s="550"/>
      <c r="J23" s="550">
        <f t="shared" si="5"/>
        <v>740000000</v>
      </c>
      <c r="K23" s="550">
        <v>740000000</v>
      </c>
      <c r="L23" s="550">
        <v>0</v>
      </c>
      <c r="M23" s="550">
        <f t="shared" si="6"/>
        <v>733402576</v>
      </c>
      <c r="N23" s="550">
        <v>0</v>
      </c>
      <c r="O23" s="550">
        <v>733402576</v>
      </c>
      <c r="P23" s="550">
        <f t="shared" si="7"/>
        <v>5697604858</v>
      </c>
      <c r="Q23" s="550"/>
      <c r="R23" s="550"/>
      <c r="S23" s="550"/>
      <c r="T23" s="550">
        <v>3994313732</v>
      </c>
      <c r="U23" s="550">
        <v>39008000</v>
      </c>
      <c r="V23" s="550"/>
      <c r="W23" s="550">
        <f t="shared" si="8"/>
        <v>740000000</v>
      </c>
      <c r="X23" s="550">
        <v>740000000</v>
      </c>
      <c r="Y23" s="550">
        <v>0</v>
      </c>
      <c r="Z23" s="550">
        <f t="shared" si="9"/>
        <v>733402576</v>
      </c>
      <c r="AA23" s="550">
        <v>0</v>
      </c>
      <c r="AB23" s="552">
        <v>733402576</v>
      </c>
      <c r="AC23" s="550">
        <v>229888550</v>
      </c>
      <c r="AD23" s="166">
        <f t="shared" si="4"/>
        <v>1</v>
      </c>
      <c r="AE23" s="166"/>
      <c r="AF23" s="166">
        <f t="shared" si="1"/>
        <v>0.9455782335567613</v>
      </c>
      <c r="AG23" s="166"/>
      <c r="AH23" s="166">
        <f t="shared" si="10"/>
        <v>1</v>
      </c>
    </row>
    <row r="24" spans="1:34" s="22" customFormat="1" ht="16.5" customHeight="1">
      <c r="A24" s="168" t="s">
        <v>394</v>
      </c>
      <c r="B24" s="169" t="s">
        <v>395</v>
      </c>
      <c r="C24" s="550">
        <f t="shared" si="3"/>
        <v>6013444408</v>
      </c>
      <c r="D24" s="550"/>
      <c r="E24" s="550"/>
      <c r="F24" s="550"/>
      <c r="G24" s="550">
        <v>4499723792</v>
      </c>
      <c r="H24" s="550">
        <v>76350000</v>
      </c>
      <c r="I24" s="550"/>
      <c r="J24" s="550">
        <f t="shared" si="5"/>
        <v>820778664</v>
      </c>
      <c r="K24" s="550">
        <v>200000000</v>
      </c>
      <c r="L24" s="550">
        <v>620778664</v>
      </c>
      <c r="M24" s="550">
        <f t="shared" si="6"/>
        <v>692941952</v>
      </c>
      <c r="N24" s="550">
        <v>0</v>
      </c>
      <c r="O24" s="550">
        <v>692941952</v>
      </c>
      <c r="P24" s="550">
        <f t="shared" si="7"/>
        <v>6013444408</v>
      </c>
      <c r="Q24" s="550"/>
      <c r="R24" s="550"/>
      <c r="S24" s="550"/>
      <c r="T24" s="550">
        <v>4473256288</v>
      </c>
      <c r="U24" s="550">
        <v>76350000</v>
      </c>
      <c r="V24" s="550"/>
      <c r="W24" s="550">
        <f t="shared" si="8"/>
        <v>820778664</v>
      </c>
      <c r="X24" s="550">
        <v>200000000</v>
      </c>
      <c r="Y24" s="550">
        <v>620778664</v>
      </c>
      <c r="Z24" s="550">
        <f t="shared" si="9"/>
        <v>692941952</v>
      </c>
      <c r="AA24" s="550">
        <v>0</v>
      </c>
      <c r="AB24" s="552">
        <v>692941952</v>
      </c>
      <c r="AC24" s="550">
        <v>26467504</v>
      </c>
      <c r="AD24" s="166">
        <f t="shared" si="4"/>
        <v>1</v>
      </c>
      <c r="AE24" s="166"/>
      <c r="AF24" s="166">
        <f t="shared" si="1"/>
        <v>0.9941179714081437</v>
      </c>
      <c r="AG24" s="166"/>
      <c r="AH24" s="166">
        <f t="shared" si="10"/>
        <v>1</v>
      </c>
    </row>
    <row r="25" spans="1:34" s="22" customFormat="1" ht="16.5" customHeight="1">
      <c r="A25" s="168" t="s">
        <v>396</v>
      </c>
      <c r="B25" s="169" t="s">
        <v>397</v>
      </c>
      <c r="C25" s="550">
        <f t="shared" si="3"/>
        <v>6094850770</v>
      </c>
      <c r="D25" s="550"/>
      <c r="E25" s="550"/>
      <c r="F25" s="550"/>
      <c r="G25" s="550">
        <v>3768517770</v>
      </c>
      <c r="H25" s="550">
        <v>81830000</v>
      </c>
      <c r="I25" s="550"/>
      <c r="J25" s="550">
        <f t="shared" si="5"/>
        <v>1548479000</v>
      </c>
      <c r="K25" s="550">
        <v>400000000</v>
      </c>
      <c r="L25" s="550">
        <v>1148479000</v>
      </c>
      <c r="M25" s="550">
        <f t="shared" si="6"/>
        <v>777854000</v>
      </c>
      <c r="N25" s="550">
        <v>57800000</v>
      </c>
      <c r="O25" s="550">
        <v>720054000</v>
      </c>
      <c r="P25" s="550">
        <f t="shared" si="7"/>
        <v>6094850770</v>
      </c>
      <c r="Q25" s="550"/>
      <c r="R25" s="550"/>
      <c r="S25" s="550"/>
      <c r="T25" s="550">
        <v>3421505702</v>
      </c>
      <c r="U25" s="550">
        <v>48988000</v>
      </c>
      <c r="V25" s="550"/>
      <c r="W25" s="550">
        <f t="shared" si="8"/>
        <v>1508479000</v>
      </c>
      <c r="X25" s="550">
        <v>360000000</v>
      </c>
      <c r="Y25" s="550">
        <v>1148479000</v>
      </c>
      <c r="Z25" s="550">
        <f t="shared" si="9"/>
        <v>720054000</v>
      </c>
      <c r="AA25" s="550">
        <v>0</v>
      </c>
      <c r="AB25" s="552">
        <v>720054000</v>
      </c>
      <c r="AC25" s="550">
        <v>444812068</v>
      </c>
      <c r="AD25" s="166">
        <f t="shared" si="4"/>
        <v>1</v>
      </c>
      <c r="AE25" s="166"/>
      <c r="AF25" s="166">
        <f t="shared" si="1"/>
        <v>0.907918155312294</v>
      </c>
      <c r="AG25" s="166"/>
      <c r="AH25" s="166">
        <f t="shared" si="10"/>
        <v>0.9256929963720698</v>
      </c>
    </row>
    <row r="26" spans="1:34" s="22" customFormat="1" ht="16.5" customHeight="1">
      <c r="A26" s="168" t="s">
        <v>398</v>
      </c>
      <c r="B26" s="169" t="s">
        <v>399</v>
      </c>
      <c r="C26" s="550">
        <f t="shared" si="3"/>
        <v>4757127836</v>
      </c>
      <c r="D26" s="550"/>
      <c r="E26" s="550"/>
      <c r="F26" s="550"/>
      <c r="G26" s="550">
        <v>4030167033</v>
      </c>
      <c r="H26" s="550">
        <v>95660000</v>
      </c>
      <c r="I26" s="550"/>
      <c r="J26" s="550">
        <f t="shared" si="5"/>
        <v>40000000</v>
      </c>
      <c r="K26" s="550">
        <v>40000000</v>
      </c>
      <c r="L26" s="550">
        <v>0</v>
      </c>
      <c r="M26" s="550">
        <f t="shared" si="6"/>
        <v>686960803</v>
      </c>
      <c r="N26" s="550">
        <v>0</v>
      </c>
      <c r="O26" s="550">
        <v>686960803</v>
      </c>
      <c r="P26" s="550">
        <f t="shared" si="7"/>
        <v>4757127836</v>
      </c>
      <c r="Q26" s="550"/>
      <c r="R26" s="550"/>
      <c r="S26" s="550"/>
      <c r="T26" s="550">
        <v>3878244909</v>
      </c>
      <c r="U26" s="550">
        <v>68905000</v>
      </c>
      <c r="V26" s="550"/>
      <c r="W26" s="550">
        <f t="shared" si="8"/>
        <v>40000000</v>
      </c>
      <c r="X26" s="550">
        <v>40000000</v>
      </c>
      <c r="Y26" s="550">
        <v>0</v>
      </c>
      <c r="Z26" s="550">
        <f t="shared" si="9"/>
        <v>686960803</v>
      </c>
      <c r="AA26" s="550">
        <v>0</v>
      </c>
      <c r="AB26" s="552">
        <v>686960803</v>
      </c>
      <c r="AC26" s="550">
        <v>151922124</v>
      </c>
      <c r="AD26" s="166">
        <f t="shared" si="4"/>
        <v>1</v>
      </c>
      <c r="AE26" s="166"/>
      <c r="AF26" s="166">
        <f t="shared" si="1"/>
        <v>0.9623037648921188</v>
      </c>
      <c r="AG26" s="166"/>
      <c r="AH26" s="166">
        <f t="shared" si="10"/>
        <v>1</v>
      </c>
    </row>
    <row r="27" spans="1:34" s="22" customFormat="1" ht="16.5" customHeight="1">
      <c r="A27" s="168" t="s">
        <v>400</v>
      </c>
      <c r="B27" s="169" t="s">
        <v>401</v>
      </c>
      <c r="C27" s="550">
        <f t="shared" si="3"/>
        <v>5077225443</v>
      </c>
      <c r="D27" s="550"/>
      <c r="E27" s="550"/>
      <c r="F27" s="550"/>
      <c r="G27" s="550">
        <v>3957564856</v>
      </c>
      <c r="H27" s="550">
        <v>62140000</v>
      </c>
      <c r="I27" s="550"/>
      <c r="J27" s="550">
        <f t="shared" si="5"/>
        <v>188450000</v>
      </c>
      <c r="K27" s="550">
        <v>120000000</v>
      </c>
      <c r="L27" s="550">
        <v>68450000</v>
      </c>
      <c r="M27" s="550">
        <f t="shared" si="6"/>
        <v>931210587</v>
      </c>
      <c r="N27" s="550">
        <v>190000000</v>
      </c>
      <c r="O27" s="550">
        <v>741210587</v>
      </c>
      <c r="P27" s="550">
        <f t="shared" si="7"/>
        <v>5077225443</v>
      </c>
      <c r="Q27" s="550"/>
      <c r="R27" s="550"/>
      <c r="S27" s="550"/>
      <c r="T27" s="550">
        <v>3688879847</v>
      </c>
      <c r="U27" s="550">
        <v>37920000</v>
      </c>
      <c r="V27" s="550"/>
      <c r="W27" s="550">
        <f t="shared" si="8"/>
        <v>188450000</v>
      </c>
      <c r="X27" s="550">
        <v>120000000</v>
      </c>
      <c r="Y27" s="550">
        <v>68450000</v>
      </c>
      <c r="Z27" s="550">
        <f t="shared" si="9"/>
        <v>741210587</v>
      </c>
      <c r="AA27" s="550">
        <v>0</v>
      </c>
      <c r="AB27" s="552">
        <v>741210587</v>
      </c>
      <c r="AC27" s="550">
        <v>458685009</v>
      </c>
      <c r="AD27" s="166">
        <f t="shared" si="4"/>
        <v>1</v>
      </c>
      <c r="AE27" s="166"/>
      <c r="AF27" s="166">
        <f t="shared" si="1"/>
        <v>0.932108501369813</v>
      </c>
      <c r="AG27" s="166"/>
      <c r="AH27" s="166">
        <f t="shared" si="10"/>
        <v>0.7959645190331154</v>
      </c>
    </row>
    <row r="28" spans="1:34" s="22" customFormat="1" ht="16.5" customHeight="1">
      <c r="A28" s="168" t="s">
        <v>402</v>
      </c>
      <c r="B28" s="169" t="s">
        <v>403</v>
      </c>
      <c r="C28" s="550">
        <f t="shared" si="3"/>
        <v>4720677799</v>
      </c>
      <c r="D28" s="550"/>
      <c r="E28" s="550"/>
      <c r="F28" s="550"/>
      <c r="G28" s="550">
        <v>3926660399</v>
      </c>
      <c r="H28" s="550">
        <v>95270000</v>
      </c>
      <c r="I28" s="550"/>
      <c r="J28" s="550">
        <f t="shared" si="5"/>
        <v>40000000</v>
      </c>
      <c r="K28" s="550">
        <v>40000000</v>
      </c>
      <c r="L28" s="550">
        <v>0</v>
      </c>
      <c r="M28" s="550">
        <f t="shared" si="6"/>
        <v>754017400</v>
      </c>
      <c r="N28" s="550">
        <v>0</v>
      </c>
      <c r="O28" s="550">
        <v>754017400</v>
      </c>
      <c r="P28" s="550">
        <f t="shared" si="7"/>
        <v>4720677799</v>
      </c>
      <c r="Q28" s="550"/>
      <c r="R28" s="550"/>
      <c r="S28" s="550"/>
      <c r="T28" s="550">
        <v>3468875483</v>
      </c>
      <c r="U28" s="550">
        <v>54032000</v>
      </c>
      <c r="V28" s="550"/>
      <c r="W28" s="550">
        <f t="shared" si="8"/>
        <v>40000000</v>
      </c>
      <c r="X28" s="550">
        <v>40000000</v>
      </c>
      <c r="Y28" s="550">
        <v>0</v>
      </c>
      <c r="Z28" s="550">
        <f t="shared" si="9"/>
        <v>754017400</v>
      </c>
      <c r="AA28" s="550">
        <v>0</v>
      </c>
      <c r="AB28" s="552">
        <v>754017400</v>
      </c>
      <c r="AC28" s="550">
        <v>457784916</v>
      </c>
      <c r="AD28" s="166">
        <f t="shared" si="4"/>
        <v>1</v>
      </c>
      <c r="AE28" s="166"/>
      <c r="AF28" s="166">
        <f t="shared" si="1"/>
        <v>0.883416219004683</v>
      </c>
      <c r="AG28" s="166"/>
      <c r="AH28" s="166">
        <f t="shared" si="10"/>
        <v>1</v>
      </c>
    </row>
    <row r="29" spans="1:34" s="22" customFormat="1" ht="16.5" customHeight="1">
      <c r="A29" s="168" t="s">
        <v>404</v>
      </c>
      <c r="B29" s="169" t="s">
        <v>405</v>
      </c>
      <c r="C29" s="550">
        <f t="shared" si="3"/>
        <v>5422884798</v>
      </c>
      <c r="D29" s="550"/>
      <c r="E29" s="550"/>
      <c r="F29" s="550"/>
      <c r="G29" s="550">
        <v>4185917232</v>
      </c>
      <c r="H29" s="550">
        <v>56000000</v>
      </c>
      <c r="I29" s="550"/>
      <c r="J29" s="550">
        <f t="shared" si="5"/>
        <v>704902000</v>
      </c>
      <c r="K29" s="550">
        <v>600000000</v>
      </c>
      <c r="L29" s="550">
        <v>104902000</v>
      </c>
      <c r="M29" s="550">
        <f t="shared" si="6"/>
        <v>532065566</v>
      </c>
      <c r="N29" s="550">
        <v>0</v>
      </c>
      <c r="O29" s="550">
        <v>532065566</v>
      </c>
      <c r="P29" s="550">
        <f t="shared" si="7"/>
        <v>5422884798</v>
      </c>
      <c r="Q29" s="550"/>
      <c r="R29" s="550"/>
      <c r="S29" s="550"/>
      <c r="T29" s="550">
        <v>4074723987</v>
      </c>
      <c r="U29" s="550">
        <v>56000000</v>
      </c>
      <c r="V29" s="550"/>
      <c r="W29" s="550">
        <f t="shared" si="8"/>
        <v>704902000</v>
      </c>
      <c r="X29" s="550">
        <v>600000000</v>
      </c>
      <c r="Y29" s="550">
        <v>104902000</v>
      </c>
      <c r="Z29" s="550">
        <f t="shared" si="9"/>
        <v>532065566</v>
      </c>
      <c r="AA29" s="550">
        <v>0</v>
      </c>
      <c r="AB29" s="552">
        <v>532065566</v>
      </c>
      <c r="AC29" s="550">
        <v>111193245</v>
      </c>
      <c r="AD29" s="166">
        <f t="shared" si="4"/>
        <v>1</v>
      </c>
      <c r="AE29" s="166"/>
      <c r="AF29" s="166">
        <f t="shared" si="1"/>
        <v>0.9734363488723659</v>
      </c>
      <c r="AG29" s="166"/>
      <c r="AH29" s="166">
        <f t="shared" si="10"/>
        <v>1</v>
      </c>
    </row>
    <row r="30" spans="1:34" s="22" customFormat="1" ht="16.5" customHeight="1">
      <c r="A30" s="168" t="s">
        <v>406</v>
      </c>
      <c r="B30" s="169" t="s">
        <v>407</v>
      </c>
      <c r="C30" s="550">
        <f t="shared" si="3"/>
        <v>4873034644</v>
      </c>
      <c r="D30" s="550"/>
      <c r="E30" s="550"/>
      <c r="F30" s="550"/>
      <c r="G30" s="550">
        <v>4065296179</v>
      </c>
      <c r="H30" s="550">
        <v>68110000</v>
      </c>
      <c r="I30" s="550"/>
      <c r="J30" s="550">
        <f t="shared" si="5"/>
        <v>0</v>
      </c>
      <c r="K30" s="550"/>
      <c r="L30" s="550">
        <v>0</v>
      </c>
      <c r="M30" s="550">
        <f t="shared" si="6"/>
        <v>807738465</v>
      </c>
      <c r="N30" s="550">
        <v>0</v>
      </c>
      <c r="O30" s="550">
        <v>807738465</v>
      </c>
      <c r="P30" s="550">
        <f t="shared" si="7"/>
        <v>4873034644</v>
      </c>
      <c r="Q30" s="550"/>
      <c r="R30" s="550"/>
      <c r="S30" s="550"/>
      <c r="T30" s="550">
        <v>3890943179</v>
      </c>
      <c r="U30" s="550">
        <v>54601000</v>
      </c>
      <c r="V30" s="550"/>
      <c r="W30" s="550">
        <f t="shared" si="8"/>
        <v>0</v>
      </c>
      <c r="X30" s="550"/>
      <c r="Y30" s="550">
        <v>0</v>
      </c>
      <c r="Z30" s="550">
        <f t="shared" si="9"/>
        <v>807738465</v>
      </c>
      <c r="AA30" s="550">
        <v>0</v>
      </c>
      <c r="AB30" s="552">
        <v>807738465</v>
      </c>
      <c r="AC30" s="550">
        <v>174353000</v>
      </c>
      <c r="AD30" s="166">
        <f t="shared" si="4"/>
        <v>1</v>
      </c>
      <c r="AE30" s="166"/>
      <c r="AF30" s="166">
        <f t="shared" si="1"/>
        <v>0.9571118579500675</v>
      </c>
      <c r="AG30" s="166"/>
      <c r="AH30" s="166">
        <f t="shared" si="10"/>
        <v>1</v>
      </c>
    </row>
    <row r="31" spans="1:34" s="22" customFormat="1" ht="16.5" customHeight="1">
      <c r="A31" s="168" t="s">
        <v>408</v>
      </c>
      <c r="B31" s="169" t="s">
        <v>409</v>
      </c>
      <c r="C31" s="550">
        <f t="shared" si="3"/>
        <v>5307718596</v>
      </c>
      <c r="D31" s="550"/>
      <c r="E31" s="550"/>
      <c r="F31" s="550"/>
      <c r="G31" s="550">
        <v>3733626290</v>
      </c>
      <c r="H31" s="550">
        <v>95666000</v>
      </c>
      <c r="I31" s="550"/>
      <c r="J31" s="550">
        <f t="shared" si="5"/>
        <v>952335456</v>
      </c>
      <c r="K31" s="550">
        <v>20000000</v>
      </c>
      <c r="L31" s="550">
        <v>932335456</v>
      </c>
      <c r="M31" s="550">
        <f t="shared" si="6"/>
        <v>621756850</v>
      </c>
      <c r="N31" s="550">
        <v>0</v>
      </c>
      <c r="O31" s="550">
        <v>621756850</v>
      </c>
      <c r="P31" s="550">
        <f t="shared" si="7"/>
        <v>5307718596</v>
      </c>
      <c r="Q31" s="550"/>
      <c r="R31" s="550"/>
      <c r="S31" s="550"/>
      <c r="T31" s="550">
        <v>3456616554</v>
      </c>
      <c r="U31" s="550">
        <v>77266935</v>
      </c>
      <c r="V31" s="550"/>
      <c r="W31" s="550">
        <f t="shared" si="8"/>
        <v>952335456</v>
      </c>
      <c r="X31" s="550">
        <v>20000000</v>
      </c>
      <c r="Y31" s="550">
        <v>932335456</v>
      </c>
      <c r="Z31" s="550">
        <f t="shared" si="9"/>
        <v>621756850</v>
      </c>
      <c r="AA31" s="550">
        <v>0</v>
      </c>
      <c r="AB31" s="552">
        <v>621756850</v>
      </c>
      <c r="AC31" s="550">
        <v>277009736</v>
      </c>
      <c r="AD31" s="166">
        <f t="shared" si="4"/>
        <v>1</v>
      </c>
      <c r="AE31" s="166"/>
      <c r="AF31" s="166">
        <f t="shared" si="1"/>
        <v>0.9258067855527126</v>
      </c>
      <c r="AG31" s="166"/>
      <c r="AH31" s="166">
        <f t="shared" si="10"/>
        <v>1</v>
      </c>
    </row>
    <row r="32" spans="1:34" s="22" customFormat="1" ht="16.5" customHeight="1">
      <c r="A32" s="168" t="s">
        <v>410</v>
      </c>
      <c r="B32" s="169" t="s">
        <v>411</v>
      </c>
      <c r="C32" s="550">
        <f t="shared" si="3"/>
        <v>5679405513</v>
      </c>
      <c r="D32" s="550"/>
      <c r="E32" s="550"/>
      <c r="F32" s="550"/>
      <c r="G32" s="550">
        <v>4501132706</v>
      </c>
      <c r="H32" s="550">
        <v>68000000</v>
      </c>
      <c r="I32" s="550"/>
      <c r="J32" s="550">
        <f t="shared" si="5"/>
        <v>468250000</v>
      </c>
      <c r="K32" s="550">
        <v>400000000</v>
      </c>
      <c r="L32" s="550">
        <v>68250000</v>
      </c>
      <c r="M32" s="550">
        <f t="shared" si="6"/>
        <v>710022807</v>
      </c>
      <c r="N32" s="550">
        <v>75200000</v>
      </c>
      <c r="O32" s="550">
        <v>634822807</v>
      </c>
      <c r="P32" s="550">
        <f t="shared" si="7"/>
        <v>5679405513</v>
      </c>
      <c r="Q32" s="550"/>
      <c r="R32" s="550"/>
      <c r="S32" s="550"/>
      <c r="T32" s="550">
        <v>4161296098</v>
      </c>
      <c r="U32" s="550">
        <v>55869100</v>
      </c>
      <c r="V32" s="550"/>
      <c r="W32" s="550">
        <f t="shared" si="8"/>
        <v>388250000</v>
      </c>
      <c r="X32" s="550">
        <v>320000000</v>
      </c>
      <c r="Y32" s="550">
        <v>68250000</v>
      </c>
      <c r="Z32" s="550">
        <f t="shared" si="9"/>
        <v>662265807</v>
      </c>
      <c r="AA32" s="550">
        <v>27443000</v>
      </c>
      <c r="AB32" s="552">
        <v>634822807</v>
      </c>
      <c r="AC32" s="550">
        <v>467593608</v>
      </c>
      <c r="AD32" s="166">
        <f t="shared" si="4"/>
        <v>1</v>
      </c>
      <c r="AE32" s="166"/>
      <c r="AF32" s="166">
        <f t="shared" si="1"/>
        <v>0.9244997581282155</v>
      </c>
      <c r="AG32" s="166"/>
      <c r="AH32" s="166">
        <f t="shared" si="10"/>
        <v>0.9327387803192074</v>
      </c>
    </row>
    <row r="33" spans="1:34" s="22" customFormat="1" ht="16.5" customHeight="1">
      <c r="A33" s="168" t="s">
        <v>412</v>
      </c>
      <c r="B33" s="169" t="s">
        <v>413</v>
      </c>
      <c r="C33" s="550">
        <f t="shared" si="3"/>
        <v>12977842953</v>
      </c>
      <c r="D33" s="550">
        <v>304927406</v>
      </c>
      <c r="E33" s="550"/>
      <c r="F33" s="550"/>
      <c r="G33" s="550">
        <v>6498933716</v>
      </c>
      <c r="H33" s="550">
        <v>63000000</v>
      </c>
      <c r="I33" s="550"/>
      <c r="J33" s="550">
        <f t="shared" si="5"/>
        <v>1252200000</v>
      </c>
      <c r="K33" s="550">
        <v>1120000000</v>
      </c>
      <c r="L33" s="550">
        <v>132200000</v>
      </c>
      <c r="M33" s="550">
        <f t="shared" si="6"/>
        <v>4921781831</v>
      </c>
      <c r="N33" s="550">
        <v>3549297000</v>
      </c>
      <c r="O33" s="550">
        <v>1372484831</v>
      </c>
      <c r="P33" s="550">
        <f t="shared" si="7"/>
        <v>12977842953</v>
      </c>
      <c r="Q33" s="550">
        <v>84769000</v>
      </c>
      <c r="R33" s="550"/>
      <c r="S33" s="550"/>
      <c r="T33" s="550">
        <v>6431048612</v>
      </c>
      <c r="U33" s="550">
        <v>29240000</v>
      </c>
      <c r="V33" s="550"/>
      <c r="W33" s="550">
        <f t="shared" si="8"/>
        <v>1252200000</v>
      </c>
      <c r="X33" s="550">
        <v>1120000000</v>
      </c>
      <c r="Y33" s="550">
        <v>132200000</v>
      </c>
      <c r="Z33" s="550">
        <f t="shared" si="9"/>
        <v>4910752831</v>
      </c>
      <c r="AA33" s="550">
        <v>3538268000</v>
      </c>
      <c r="AB33" s="552">
        <v>1372484831</v>
      </c>
      <c r="AC33" s="550">
        <v>299072510</v>
      </c>
      <c r="AD33" s="166">
        <f t="shared" si="4"/>
        <v>1</v>
      </c>
      <c r="AE33" s="166">
        <f>Q33/D33</f>
        <v>0.27799731454771237</v>
      </c>
      <c r="AF33" s="166">
        <f t="shared" si="1"/>
        <v>0.9895544243153502</v>
      </c>
      <c r="AG33" s="166"/>
      <c r="AH33" s="166">
        <f t="shared" si="10"/>
        <v>0.9977591448831532</v>
      </c>
    </row>
    <row r="34" spans="1:34" s="22" customFormat="1" ht="16.5" customHeight="1">
      <c r="A34" s="170" t="s">
        <v>414</v>
      </c>
      <c r="B34" s="171" t="s">
        <v>415</v>
      </c>
      <c r="C34" s="551">
        <f t="shared" si="3"/>
        <v>6107393740</v>
      </c>
      <c r="D34" s="551"/>
      <c r="E34" s="551"/>
      <c r="F34" s="551"/>
      <c r="G34" s="551">
        <v>4733154240</v>
      </c>
      <c r="H34" s="551">
        <v>61000000</v>
      </c>
      <c r="I34" s="551"/>
      <c r="J34" s="551">
        <f t="shared" si="5"/>
        <v>674721000</v>
      </c>
      <c r="K34" s="551">
        <v>400000000</v>
      </c>
      <c r="L34" s="551">
        <v>274721000</v>
      </c>
      <c r="M34" s="551">
        <f>N34+O34</f>
        <v>699518500</v>
      </c>
      <c r="N34" s="551">
        <v>0</v>
      </c>
      <c r="O34" s="551">
        <v>699518500</v>
      </c>
      <c r="P34" s="551">
        <f t="shared" si="7"/>
        <v>6107393740</v>
      </c>
      <c r="Q34" s="551"/>
      <c r="R34" s="551"/>
      <c r="S34" s="551"/>
      <c r="T34" s="551">
        <v>4517491040</v>
      </c>
      <c r="U34" s="551">
        <v>61000000</v>
      </c>
      <c r="V34" s="551"/>
      <c r="W34" s="551">
        <f t="shared" si="8"/>
        <v>674721000</v>
      </c>
      <c r="X34" s="551">
        <v>400000000</v>
      </c>
      <c r="Y34" s="551">
        <v>274721000</v>
      </c>
      <c r="Z34" s="551">
        <f>AA34+AB34</f>
        <v>699518500</v>
      </c>
      <c r="AA34" s="551">
        <v>0</v>
      </c>
      <c r="AB34" s="553">
        <v>699518500</v>
      </c>
      <c r="AC34" s="551">
        <v>215663200</v>
      </c>
      <c r="AD34" s="414">
        <f t="shared" si="4"/>
        <v>1</v>
      </c>
      <c r="AE34" s="414"/>
      <c r="AF34" s="414">
        <f t="shared" si="1"/>
        <v>0.9544356281108641</v>
      </c>
      <c r="AG34" s="414"/>
      <c r="AH34" s="414">
        <f t="shared" si="10"/>
        <v>1</v>
      </c>
    </row>
    <row r="35" spans="1:34" ht="19.5" customHeight="1">
      <c r="A35" s="163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18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ht="18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8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ht="18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ht="18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22.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18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18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ht="18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ht="18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</sheetData>
  <sheetProtection/>
  <mergeCells count="58">
    <mergeCell ref="T7:T13"/>
    <mergeCell ref="U7:V7"/>
    <mergeCell ref="N8:N13"/>
    <mergeCell ref="AA8:AA13"/>
    <mergeCell ref="AB8:AB13"/>
    <mergeCell ref="W7:W13"/>
    <mergeCell ref="X7:Y7"/>
    <mergeCell ref="Z7:Z13"/>
    <mergeCell ref="AA7:AB7"/>
    <mergeCell ref="N7:O7"/>
    <mergeCell ref="Q7:Q13"/>
    <mergeCell ref="R7:S7"/>
    <mergeCell ref="S8:S13"/>
    <mergeCell ref="D7:D13"/>
    <mergeCell ref="E7:F7"/>
    <mergeCell ref="G7:G13"/>
    <mergeCell ref="H7:I7"/>
    <mergeCell ref="E8:E13"/>
    <mergeCell ref="F8:F13"/>
    <mergeCell ref="AC6:AC13"/>
    <mergeCell ref="AD6:AD13"/>
    <mergeCell ref="AE6:AE13"/>
    <mergeCell ref="Q6:S6"/>
    <mergeCell ref="T6:V6"/>
    <mergeCell ref="R8:R13"/>
    <mergeCell ref="U8:U13"/>
    <mergeCell ref="V8:V13"/>
    <mergeCell ref="X8:X13"/>
    <mergeCell ref="Y8:Y13"/>
    <mergeCell ref="M6:O6"/>
    <mergeCell ref="P6:P13"/>
    <mergeCell ref="H8:H13"/>
    <mergeCell ref="I8:I13"/>
    <mergeCell ref="O8:O13"/>
    <mergeCell ref="J7:J13"/>
    <mergeCell ref="K7:L7"/>
    <mergeCell ref="K8:K13"/>
    <mergeCell ref="L8:L13"/>
    <mergeCell ref="M7:M13"/>
    <mergeCell ref="AF6:AF13"/>
    <mergeCell ref="AG6:AG13"/>
    <mergeCell ref="AH6:AH13"/>
    <mergeCell ref="AD5:AH5"/>
    <mergeCell ref="A5:A13"/>
    <mergeCell ref="B5:B13"/>
    <mergeCell ref="C5:O5"/>
    <mergeCell ref="P5:AC5"/>
    <mergeCell ref="W6:Y6"/>
    <mergeCell ref="Z6:AB6"/>
    <mergeCell ref="C6:C13"/>
    <mergeCell ref="D6:F6"/>
    <mergeCell ref="G6:I6"/>
    <mergeCell ref="J6:L6"/>
    <mergeCell ref="N1:O1"/>
    <mergeCell ref="A2:O2"/>
    <mergeCell ref="A3:O3"/>
    <mergeCell ref="U4:V4"/>
    <mergeCell ref="N4:O4"/>
  </mergeCells>
  <printOptions/>
  <pageMargins left="0.42" right="0.2" top="0.46" bottom="0.84" header="0.3" footer="0.3"/>
  <pageSetup horizontalDpi="600" verticalDpi="600" orientation="landscape" paperSize="9" scale="95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8"/>
  <sheetViews>
    <sheetView zoomScalePageLayoutView="0" workbookViewId="0" topLeftCell="A1">
      <selection activeCell="Q17" sqref="Q17"/>
    </sheetView>
  </sheetViews>
  <sheetFormatPr defaultColWidth="8.796875" defaultRowHeight="15"/>
  <cols>
    <col min="1" max="1" width="5.8984375" style="144" customWidth="1"/>
    <col min="2" max="2" width="17.296875" style="144" customWidth="1"/>
    <col min="3" max="3" width="13.8984375" style="144" customWidth="1"/>
    <col min="4" max="4" width="13.69921875" style="144" customWidth="1"/>
    <col min="5" max="5" width="14.296875" style="144" customWidth="1"/>
    <col min="6" max="6" width="7.19921875" style="144" customWidth="1"/>
    <col min="7" max="7" width="12.3984375" style="144" customWidth="1"/>
    <col min="8" max="8" width="13.296875" style="144" customWidth="1"/>
    <col min="9" max="9" width="14.09765625" style="144" customWidth="1"/>
    <col min="10" max="10" width="12.796875" style="144" customWidth="1"/>
    <col min="11" max="13" width="16.19921875" style="144" customWidth="1"/>
    <col min="14" max="14" width="12.296875" style="144" customWidth="1"/>
    <col min="15" max="18" width="15.09765625" style="144" customWidth="1"/>
    <col min="19" max="26" width="8.19921875" style="144" customWidth="1"/>
    <col min="27" max="16384" width="9" style="144" customWidth="1"/>
  </cols>
  <sheetData>
    <row r="1" spans="1:25" ht="18.75">
      <c r="A1" s="152"/>
      <c r="B1" s="152"/>
      <c r="C1" s="153"/>
      <c r="D1" s="153"/>
      <c r="E1" s="154"/>
      <c r="F1" s="154"/>
      <c r="G1" s="154"/>
      <c r="H1" s="154"/>
      <c r="J1" s="398" t="s">
        <v>131</v>
      </c>
      <c r="L1" s="358"/>
      <c r="M1" s="154"/>
      <c r="N1" s="154"/>
      <c r="O1" s="154"/>
      <c r="P1" s="154"/>
      <c r="Q1" s="154"/>
      <c r="R1" s="153"/>
      <c r="S1" s="153"/>
      <c r="T1" s="154"/>
      <c r="U1" s="154"/>
      <c r="V1" s="154"/>
      <c r="W1" s="154"/>
      <c r="X1" s="154"/>
      <c r="Y1" s="152"/>
    </row>
    <row r="2" spans="1:26" ht="20.25">
      <c r="A2" s="731" t="s">
        <v>645</v>
      </c>
      <c r="B2" s="731"/>
      <c r="C2" s="731"/>
      <c r="D2" s="731"/>
      <c r="E2" s="731"/>
      <c r="F2" s="731"/>
      <c r="G2" s="731"/>
      <c r="H2" s="731"/>
      <c r="I2" s="731"/>
      <c r="J2" s="731"/>
      <c r="K2" s="348"/>
      <c r="L2" s="348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8" ht="18.75" customHeight="1">
      <c r="A3" s="736" t="str">
        <f>'[5]Biểu 48'!A3</f>
        <v>(Kèm theo Nghị quyết số          /NQ-HĐND ngày         /      /2019 của HĐND huyện Tuần Giáo)</v>
      </c>
      <c r="B3" s="736"/>
      <c r="C3" s="736"/>
      <c r="D3" s="736"/>
      <c r="E3" s="736"/>
      <c r="F3" s="736"/>
      <c r="G3" s="736"/>
      <c r="H3" s="736"/>
      <c r="I3" s="736"/>
      <c r="J3" s="736"/>
      <c r="K3" s="443"/>
      <c r="L3" s="443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B3" s="154"/>
    </row>
    <row r="4" spans="1:26" ht="21.75" customHeight="1">
      <c r="A4" s="157"/>
      <c r="B4" s="157"/>
      <c r="C4" s="442"/>
      <c r="D4" s="442"/>
      <c r="E4" s="444"/>
      <c r="F4" s="413"/>
      <c r="G4" s="413"/>
      <c r="H4" s="413"/>
      <c r="I4" s="413"/>
      <c r="J4" s="399" t="s">
        <v>424</v>
      </c>
      <c r="K4" s="441"/>
      <c r="L4" s="274"/>
      <c r="M4" s="413"/>
      <c r="N4" s="413"/>
      <c r="O4" s="413"/>
      <c r="P4" s="413"/>
      <c r="Q4" s="413"/>
      <c r="R4" s="413"/>
      <c r="S4" s="22"/>
      <c r="T4" s="274"/>
      <c r="U4" s="274"/>
      <c r="V4" s="274"/>
      <c r="W4" s="274"/>
      <c r="X4" s="274"/>
      <c r="Y4" s="274"/>
      <c r="Z4" s="274"/>
    </row>
    <row r="5" spans="1:26" ht="18" customHeight="1">
      <c r="A5" s="717" t="s">
        <v>61</v>
      </c>
      <c r="B5" s="717" t="s">
        <v>172</v>
      </c>
      <c r="C5" s="636" t="s">
        <v>6</v>
      </c>
      <c r="D5" s="636"/>
      <c r="E5" s="636"/>
      <c r="F5" s="636"/>
      <c r="G5" s="636"/>
      <c r="H5" s="636"/>
      <c r="I5" s="636"/>
      <c r="J5" s="636"/>
      <c r="K5" s="636" t="s">
        <v>60</v>
      </c>
      <c r="L5" s="636"/>
      <c r="M5" s="636"/>
      <c r="N5" s="636"/>
      <c r="O5" s="636"/>
      <c r="P5" s="636"/>
      <c r="Q5" s="636"/>
      <c r="R5" s="636"/>
      <c r="S5" s="636" t="s">
        <v>87</v>
      </c>
      <c r="T5" s="636"/>
      <c r="U5" s="636"/>
      <c r="V5" s="636"/>
      <c r="W5" s="636"/>
      <c r="X5" s="636"/>
      <c r="Y5" s="636"/>
      <c r="Z5" s="636"/>
    </row>
    <row r="6" spans="1:26" s="159" customFormat="1" ht="18" customHeight="1">
      <c r="A6" s="717"/>
      <c r="B6" s="717"/>
      <c r="C6" s="717" t="s">
        <v>78</v>
      </c>
      <c r="D6" s="717" t="s">
        <v>1</v>
      </c>
      <c r="E6" s="717" t="s">
        <v>89</v>
      </c>
      <c r="F6" s="717"/>
      <c r="G6" s="717"/>
      <c r="H6" s="717"/>
      <c r="I6" s="717"/>
      <c r="J6" s="717"/>
      <c r="K6" s="717" t="s">
        <v>78</v>
      </c>
      <c r="L6" s="717" t="s">
        <v>1</v>
      </c>
      <c r="M6" s="717" t="s">
        <v>89</v>
      </c>
      <c r="N6" s="717"/>
      <c r="O6" s="717"/>
      <c r="P6" s="717"/>
      <c r="Q6" s="717"/>
      <c r="R6" s="717"/>
      <c r="S6" s="717" t="s">
        <v>78</v>
      </c>
      <c r="T6" s="717" t="s">
        <v>1</v>
      </c>
      <c r="U6" s="717" t="s">
        <v>89</v>
      </c>
      <c r="V6" s="717"/>
      <c r="W6" s="717"/>
      <c r="X6" s="717"/>
      <c r="Y6" s="717"/>
      <c r="Z6" s="717"/>
    </row>
    <row r="7" spans="1:26" s="159" customFormat="1" ht="18" customHeight="1">
      <c r="A7" s="717"/>
      <c r="B7" s="717"/>
      <c r="C7" s="717"/>
      <c r="D7" s="717"/>
      <c r="E7" s="717" t="s">
        <v>78</v>
      </c>
      <c r="F7" s="717" t="s">
        <v>91</v>
      </c>
      <c r="G7" s="717"/>
      <c r="H7" s="717" t="s">
        <v>125</v>
      </c>
      <c r="I7" s="717" t="s">
        <v>126</v>
      </c>
      <c r="J7" s="717" t="s">
        <v>127</v>
      </c>
      <c r="K7" s="717"/>
      <c r="L7" s="717"/>
      <c r="M7" s="717" t="s">
        <v>78</v>
      </c>
      <c r="N7" s="717" t="s">
        <v>91</v>
      </c>
      <c r="O7" s="717"/>
      <c r="P7" s="717" t="s">
        <v>125</v>
      </c>
      <c r="Q7" s="717" t="s">
        <v>126</v>
      </c>
      <c r="R7" s="717" t="s">
        <v>127</v>
      </c>
      <c r="S7" s="717"/>
      <c r="T7" s="717"/>
      <c r="U7" s="717" t="s">
        <v>78</v>
      </c>
      <c r="V7" s="717" t="s">
        <v>91</v>
      </c>
      <c r="W7" s="717"/>
      <c r="X7" s="734" t="s">
        <v>125</v>
      </c>
      <c r="Y7" s="715" t="s">
        <v>126</v>
      </c>
      <c r="Z7" s="715" t="s">
        <v>127</v>
      </c>
    </row>
    <row r="8" spans="1:26" s="159" customFormat="1" ht="13.5" customHeight="1">
      <c r="A8" s="717"/>
      <c r="B8" s="717"/>
      <c r="C8" s="717"/>
      <c r="D8" s="717"/>
      <c r="E8" s="717"/>
      <c r="F8" s="717" t="s">
        <v>25</v>
      </c>
      <c r="G8" s="717" t="s">
        <v>71</v>
      </c>
      <c r="H8" s="717"/>
      <c r="I8" s="717"/>
      <c r="J8" s="717"/>
      <c r="K8" s="717"/>
      <c r="L8" s="717"/>
      <c r="M8" s="717"/>
      <c r="N8" s="717" t="s">
        <v>25</v>
      </c>
      <c r="O8" s="717" t="s">
        <v>71</v>
      </c>
      <c r="P8" s="717"/>
      <c r="Q8" s="717"/>
      <c r="R8" s="717"/>
      <c r="S8" s="717"/>
      <c r="T8" s="717"/>
      <c r="U8" s="717"/>
      <c r="V8" s="717" t="s">
        <v>25</v>
      </c>
      <c r="W8" s="717" t="s">
        <v>71</v>
      </c>
      <c r="X8" s="735"/>
      <c r="Y8" s="715"/>
      <c r="Z8" s="715"/>
    </row>
    <row r="9" spans="1:26" s="159" customFormat="1" ht="13.5" customHeight="1">
      <c r="A9" s="717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7"/>
      <c r="R9" s="717"/>
      <c r="S9" s="717"/>
      <c r="T9" s="717"/>
      <c r="U9" s="717"/>
      <c r="V9" s="717"/>
      <c r="W9" s="717"/>
      <c r="X9" s="735"/>
      <c r="Y9" s="715"/>
      <c r="Z9" s="715"/>
    </row>
    <row r="10" spans="1:26" s="159" customFormat="1" ht="13.5" customHeight="1">
      <c r="A10" s="717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7"/>
      <c r="R10" s="717"/>
      <c r="S10" s="717"/>
      <c r="T10" s="717"/>
      <c r="U10" s="717"/>
      <c r="V10" s="717"/>
      <c r="W10" s="717"/>
      <c r="X10" s="735"/>
      <c r="Y10" s="715"/>
      <c r="Z10" s="715"/>
    </row>
    <row r="11" spans="1:26" s="159" customFormat="1" ht="13.5" customHeight="1">
      <c r="A11" s="717"/>
      <c r="B11" s="717"/>
      <c r="C11" s="717"/>
      <c r="D11" s="717"/>
      <c r="E11" s="717"/>
      <c r="F11" s="717"/>
      <c r="G11" s="717"/>
      <c r="H11" s="717"/>
      <c r="I11" s="717"/>
      <c r="J11" s="717"/>
      <c r="K11" s="717"/>
      <c r="L11" s="717"/>
      <c r="M11" s="717"/>
      <c r="N11" s="717"/>
      <c r="O11" s="717"/>
      <c r="P11" s="717"/>
      <c r="Q11" s="717"/>
      <c r="R11" s="717"/>
      <c r="S11" s="717"/>
      <c r="T11" s="717"/>
      <c r="U11" s="717"/>
      <c r="V11" s="717"/>
      <c r="W11" s="717"/>
      <c r="X11" s="735"/>
      <c r="Y11" s="715"/>
      <c r="Z11" s="715"/>
    </row>
    <row r="12" spans="1:26" s="159" customFormat="1" ht="13.5" customHeight="1">
      <c r="A12" s="717"/>
      <c r="B12" s="717"/>
      <c r="C12" s="717"/>
      <c r="D12" s="717"/>
      <c r="E12" s="717"/>
      <c r="F12" s="717"/>
      <c r="G12" s="717"/>
      <c r="H12" s="717"/>
      <c r="I12" s="717"/>
      <c r="J12" s="717"/>
      <c r="K12" s="717"/>
      <c r="L12" s="717"/>
      <c r="M12" s="717"/>
      <c r="N12" s="717"/>
      <c r="O12" s="717"/>
      <c r="P12" s="717"/>
      <c r="Q12" s="717"/>
      <c r="R12" s="717"/>
      <c r="S12" s="717"/>
      <c r="T12" s="717"/>
      <c r="U12" s="717"/>
      <c r="V12" s="717"/>
      <c r="W12" s="717"/>
      <c r="X12" s="722"/>
      <c r="Y12" s="715"/>
      <c r="Z12" s="715"/>
    </row>
    <row r="13" spans="1:26" s="160" customFormat="1" ht="13.5" customHeight="1">
      <c r="A13" s="114" t="s">
        <v>9</v>
      </c>
      <c r="B13" s="114" t="s">
        <v>10</v>
      </c>
      <c r="C13" s="114">
        <v>1</v>
      </c>
      <c r="D13" s="114">
        <f>C13+1</f>
        <v>2</v>
      </c>
      <c r="E13" s="114" t="s">
        <v>92</v>
      </c>
      <c r="F13" s="114">
        <v>4</v>
      </c>
      <c r="G13" s="114">
        <f aca="true" t="shared" si="0" ref="G13:L13">F13+1</f>
        <v>5</v>
      </c>
      <c r="H13" s="114">
        <f t="shared" si="0"/>
        <v>6</v>
      </c>
      <c r="I13" s="114">
        <f t="shared" si="0"/>
        <v>7</v>
      </c>
      <c r="J13" s="114">
        <f t="shared" si="0"/>
        <v>8</v>
      </c>
      <c r="K13" s="114">
        <f t="shared" si="0"/>
        <v>9</v>
      </c>
      <c r="L13" s="114">
        <f t="shared" si="0"/>
        <v>10</v>
      </c>
      <c r="M13" s="114" t="s">
        <v>101</v>
      </c>
      <c r="N13" s="114">
        <v>12</v>
      </c>
      <c r="O13" s="164">
        <f>N13+1</f>
        <v>13</v>
      </c>
      <c r="P13" s="164">
        <f>O13+1</f>
        <v>14</v>
      </c>
      <c r="Q13" s="164">
        <f>P13+1</f>
        <v>15</v>
      </c>
      <c r="R13" s="164">
        <f>Q13+1</f>
        <v>16</v>
      </c>
      <c r="S13" s="164" t="s">
        <v>93</v>
      </c>
      <c r="T13" s="164" t="s">
        <v>94</v>
      </c>
      <c r="U13" s="164" t="s">
        <v>95</v>
      </c>
      <c r="V13" s="164" t="s">
        <v>96</v>
      </c>
      <c r="W13" s="164" t="s">
        <v>97</v>
      </c>
      <c r="X13" s="164" t="s">
        <v>98</v>
      </c>
      <c r="Y13" s="164" t="s">
        <v>99</v>
      </c>
      <c r="Z13" s="164" t="s">
        <v>100</v>
      </c>
    </row>
    <row r="14" spans="1:26" s="434" customFormat="1" ht="18.75">
      <c r="A14" s="432"/>
      <c r="B14" s="433" t="s">
        <v>29</v>
      </c>
      <c r="C14" s="433">
        <f>SUM(C15:C33)</f>
        <v>120798698262</v>
      </c>
      <c r="D14" s="433">
        <f>SUM(D15:D33)</f>
        <v>81470000000</v>
      </c>
      <c r="E14" s="433">
        <f aca="true" t="shared" si="1" ref="E14:N14">SUM(E15:E33)</f>
        <v>39328698262</v>
      </c>
      <c r="F14" s="433"/>
      <c r="G14" s="433">
        <f t="shared" si="1"/>
        <v>39328698262</v>
      </c>
      <c r="H14" s="433">
        <f t="shared" si="1"/>
        <v>10860000000</v>
      </c>
      <c r="I14" s="433">
        <f t="shared" si="1"/>
        <v>8333420831</v>
      </c>
      <c r="J14" s="433">
        <f t="shared" si="1"/>
        <v>20135277431</v>
      </c>
      <c r="K14" s="433">
        <f t="shared" si="1"/>
        <v>120798698262</v>
      </c>
      <c r="L14" s="433">
        <f t="shared" si="1"/>
        <v>81470000000</v>
      </c>
      <c r="M14" s="433">
        <f t="shared" si="1"/>
        <v>39328698262</v>
      </c>
      <c r="N14" s="433">
        <f t="shared" si="1"/>
        <v>0</v>
      </c>
      <c r="O14" s="433">
        <f>SUM(O15:O33)</f>
        <v>39328698262</v>
      </c>
      <c r="P14" s="433">
        <f>SUM(P15:P33)</f>
        <v>10860000000</v>
      </c>
      <c r="Q14" s="433">
        <f>SUM(Q15:Q33)</f>
        <v>8333420831</v>
      </c>
      <c r="R14" s="433">
        <f>SUM(R15:R33)</f>
        <v>20135277431</v>
      </c>
      <c r="S14" s="226">
        <f aca="true" t="shared" si="2" ref="S14:U33">K14/C14</f>
        <v>1</v>
      </c>
      <c r="T14" s="226">
        <f t="shared" si="2"/>
        <v>1</v>
      </c>
      <c r="U14" s="226">
        <f t="shared" si="2"/>
        <v>1</v>
      </c>
      <c r="V14" s="226"/>
      <c r="W14" s="226">
        <f>O14/G14</f>
        <v>1</v>
      </c>
      <c r="X14" s="226"/>
      <c r="Y14" s="226">
        <f aca="true" t="shared" si="3" ref="Y14:Z16">Q14/I14</f>
        <v>1</v>
      </c>
      <c r="Z14" s="226">
        <f t="shared" si="3"/>
        <v>1</v>
      </c>
    </row>
    <row r="15" spans="1:26" s="161" customFormat="1" ht="15.75" customHeight="1">
      <c r="A15" s="172" t="s">
        <v>378</v>
      </c>
      <c r="B15" s="173" t="s">
        <v>379</v>
      </c>
      <c r="C15" s="174">
        <f>D15+E15</f>
        <v>8252491500</v>
      </c>
      <c r="D15" s="174">
        <v>5960000000</v>
      </c>
      <c r="E15" s="174">
        <f>F15+G15</f>
        <v>2292491500</v>
      </c>
      <c r="F15" s="174"/>
      <c r="G15" s="174">
        <f>H15+I15+J15</f>
        <v>2292491500</v>
      </c>
      <c r="H15" s="174">
        <v>380000000</v>
      </c>
      <c r="I15" s="174">
        <v>893479000</v>
      </c>
      <c r="J15" s="174">
        <v>1019012500</v>
      </c>
      <c r="K15" s="174">
        <f>L15+M15</f>
        <v>8252491500</v>
      </c>
      <c r="L15" s="174">
        <v>5960000000</v>
      </c>
      <c r="M15" s="174">
        <f>N15+O15</f>
        <v>2292491500</v>
      </c>
      <c r="N15" s="174"/>
      <c r="O15" s="174">
        <f>P15+Q15+R15</f>
        <v>2292491500</v>
      </c>
      <c r="P15" s="174">
        <v>380000000</v>
      </c>
      <c r="Q15" s="174">
        <v>893479000</v>
      </c>
      <c r="R15" s="174">
        <v>1019012500</v>
      </c>
      <c r="S15" s="175">
        <f t="shared" si="2"/>
        <v>1</v>
      </c>
      <c r="T15" s="175">
        <f t="shared" si="2"/>
        <v>1</v>
      </c>
      <c r="U15" s="175">
        <f t="shared" si="2"/>
        <v>1</v>
      </c>
      <c r="V15" s="175"/>
      <c r="W15" s="175">
        <f>O15/G15</f>
        <v>1</v>
      </c>
      <c r="X15" s="175"/>
      <c r="Y15" s="175">
        <f t="shared" si="3"/>
        <v>1</v>
      </c>
      <c r="Z15" s="175">
        <f t="shared" si="3"/>
        <v>1</v>
      </c>
    </row>
    <row r="16" spans="1:26" s="161" customFormat="1" ht="15.75" customHeight="1">
      <c r="A16" s="172" t="s">
        <v>380</v>
      </c>
      <c r="B16" s="173" t="s">
        <v>381</v>
      </c>
      <c r="C16" s="174">
        <f aca="true" t="shared" si="4" ref="C16:C33">D16+E16</f>
        <v>5548105020</v>
      </c>
      <c r="D16" s="174">
        <v>4097000000</v>
      </c>
      <c r="E16" s="174">
        <f aca="true" t="shared" si="5" ref="E16:E33">F16+G16</f>
        <v>1451105020</v>
      </c>
      <c r="F16" s="174"/>
      <c r="G16" s="174">
        <f aca="true" t="shared" si="6" ref="G16:G33">H16+I16+J16</f>
        <v>1451105020</v>
      </c>
      <c r="H16" s="174"/>
      <c r="I16" s="174">
        <v>739755020</v>
      </c>
      <c r="J16" s="174">
        <v>711350000</v>
      </c>
      <c r="K16" s="174">
        <f aca="true" t="shared" si="7" ref="K16:K33">L16+M16</f>
        <v>5548105020</v>
      </c>
      <c r="L16" s="174">
        <v>4097000000</v>
      </c>
      <c r="M16" s="174">
        <f aca="true" t="shared" si="8" ref="M16:M33">N16+O16</f>
        <v>1451105020</v>
      </c>
      <c r="N16" s="174"/>
      <c r="O16" s="174">
        <f aca="true" t="shared" si="9" ref="O16:O33">P16+Q16+R16</f>
        <v>1451105020</v>
      </c>
      <c r="P16" s="174"/>
      <c r="Q16" s="174">
        <v>739755020</v>
      </c>
      <c r="R16" s="174">
        <v>711350000</v>
      </c>
      <c r="S16" s="175">
        <f t="shared" si="2"/>
        <v>1</v>
      </c>
      <c r="T16" s="175">
        <f t="shared" si="2"/>
        <v>1</v>
      </c>
      <c r="U16" s="175">
        <f t="shared" si="2"/>
        <v>1</v>
      </c>
      <c r="V16" s="175"/>
      <c r="W16" s="175">
        <f>O16/G16</f>
        <v>1</v>
      </c>
      <c r="X16" s="175"/>
      <c r="Y16" s="175">
        <f t="shared" si="3"/>
        <v>1</v>
      </c>
      <c r="Z16" s="175">
        <f t="shared" si="3"/>
        <v>1</v>
      </c>
    </row>
    <row r="17" spans="1:26" s="161" customFormat="1" ht="15.75" customHeight="1">
      <c r="A17" s="172" t="s">
        <v>382</v>
      </c>
      <c r="B17" s="173" t="s">
        <v>383</v>
      </c>
      <c r="C17" s="174">
        <f t="shared" si="4"/>
        <v>7105191921</v>
      </c>
      <c r="D17" s="174">
        <v>4483000000</v>
      </c>
      <c r="E17" s="174">
        <f t="shared" si="5"/>
        <v>2622191921</v>
      </c>
      <c r="F17" s="174"/>
      <c r="G17" s="174">
        <f t="shared" si="6"/>
        <v>2622191921</v>
      </c>
      <c r="H17" s="174">
        <v>1160000000</v>
      </c>
      <c r="I17" s="174">
        <v>793741921</v>
      </c>
      <c r="J17" s="174">
        <v>668450000</v>
      </c>
      <c r="K17" s="174">
        <f t="shared" si="7"/>
        <v>7105191921</v>
      </c>
      <c r="L17" s="174">
        <v>4483000000</v>
      </c>
      <c r="M17" s="174">
        <f t="shared" si="8"/>
        <v>2622191921</v>
      </c>
      <c r="N17" s="174"/>
      <c r="O17" s="174">
        <f t="shared" si="9"/>
        <v>2622191921</v>
      </c>
      <c r="P17" s="174">
        <v>1160000000</v>
      </c>
      <c r="Q17" s="174">
        <v>793741921</v>
      </c>
      <c r="R17" s="174">
        <v>668450000</v>
      </c>
      <c r="S17" s="175">
        <f t="shared" si="2"/>
        <v>1</v>
      </c>
      <c r="T17" s="175">
        <f t="shared" si="2"/>
        <v>1</v>
      </c>
      <c r="U17" s="175">
        <f t="shared" si="2"/>
        <v>1</v>
      </c>
      <c r="V17" s="175"/>
      <c r="W17" s="175">
        <f aca="true" t="shared" si="10" ref="W17:W33">O17/G17</f>
        <v>1</v>
      </c>
      <c r="X17" s="175"/>
      <c r="Y17" s="175">
        <f aca="true" t="shared" si="11" ref="Y17:Y33">Q17/I17</f>
        <v>1</v>
      </c>
      <c r="Z17" s="175">
        <f aca="true" t="shared" si="12" ref="Z17:Z33">R17/J17</f>
        <v>1</v>
      </c>
    </row>
    <row r="18" spans="1:26" s="161" customFormat="1" ht="15.75" customHeight="1">
      <c r="A18" s="172" t="s">
        <v>384</v>
      </c>
      <c r="B18" s="173" t="s">
        <v>385</v>
      </c>
      <c r="C18" s="174">
        <f t="shared" si="4"/>
        <v>12813034320</v>
      </c>
      <c r="D18" s="174">
        <v>5560000000</v>
      </c>
      <c r="E18" s="174">
        <f t="shared" si="5"/>
        <v>7253034320</v>
      </c>
      <c r="F18" s="174"/>
      <c r="G18" s="174">
        <f t="shared" si="6"/>
        <v>7253034320</v>
      </c>
      <c r="H18" s="174">
        <v>2900000000</v>
      </c>
      <c r="I18" s="174">
        <v>504164320</v>
      </c>
      <c r="J18" s="174">
        <v>3848870000</v>
      </c>
      <c r="K18" s="174">
        <f t="shared" si="7"/>
        <v>12813034320</v>
      </c>
      <c r="L18" s="174">
        <v>5560000000</v>
      </c>
      <c r="M18" s="174">
        <f t="shared" si="8"/>
        <v>7253034320</v>
      </c>
      <c r="N18" s="174"/>
      <c r="O18" s="174">
        <f t="shared" si="9"/>
        <v>7253034320</v>
      </c>
      <c r="P18" s="174">
        <v>2900000000</v>
      </c>
      <c r="Q18" s="174">
        <v>504164320</v>
      </c>
      <c r="R18" s="174">
        <v>3848870000</v>
      </c>
      <c r="S18" s="175">
        <f t="shared" si="2"/>
        <v>1</v>
      </c>
      <c r="T18" s="175">
        <f t="shared" si="2"/>
        <v>1</v>
      </c>
      <c r="U18" s="175">
        <f t="shared" si="2"/>
        <v>1</v>
      </c>
      <c r="V18" s="175"/>
      <c r="W18" s="175">
        <f t="shared" si="10"/>
        <v>1</v>
      </c>
      <c r="X18" s="175"/>
      <c r="Y18" s="175">
        <f t="shared" si="11"/>
        <v>1</v>
      </c>
      <c r="Z18" s="175">
        <f t="shared" si="12"/>
        <v>1</v>
      </c>
    </row>
    <row r="19" spans="1:26" s="161" customFormat="1" ht="15.75" customHeight="1">
      <c r="A19" s="172" t="s">
        <v>386</v>
      </c>
      <c r="B19" s="173" t="s">
        <v>387</v>
      </c>
      <c r="C19" s="174">
        <f t="shared" si="4"/>
        <v>5717450000</v>
      </c>
      <c r="D19" s="174">
        <v>4131000000</v>
      </c>
      <c r="E19" s="174">
        <f t="shared" si="5"/>
        <v>1586450000</v>
      </c>
      <c r="F19" s="174"/>
      <c r="G19" s="174">
        <f t="shared" si="6"/>
        <v>1586450000</v>
      </c>
      <c r="H19" s="174">
        <v>640000000</v>
      </c>
      <c r="I19" s="174">
        <v>300000000</v>
      </c>
      <c r="J19" s="174">
        <v>646450000</v>
      </c>
      <c r="K19" s="174">
        <f t="shared" si="7"/>
        <v>5717450000</v>
      </c>
      <c r="L19" s="174">
        <v>4131000000</v>
      </c>
      <c r="M19" s="174">
        <f t="shared" si="8"/>
        <v>1586450000</v>
      </c>
      <c r="N19" s="174"/>
      <c r="O19" s="174">
        <f t="shared" si="9"/>
        <v>1586450000</v>
      </c>
      <c r="P19" s="174">
        <v>640000000</v>
      </c>
      <c r="Q19" s="174">
        <v>300000000</v>
      </c>
      <c r="R19" s="174">
        <v>646450000</v>
      </c>
      <c r="S19" s="175">
        <f t="shared" si="2"/>
        <v>1</v>
      </c>
      <c r="T19" s="175">
        <f t="shared" si="2"/>
        <v>1</v>
      </c>
      <c r="U19" s="175">
        <f t="shared" si="2"/>
        <v>1</v>
      </c>
      <c r="V19" s="175"/>
      <c r="W19" s="175">
        <f t="shared" si="10"/>
        <v>1</v>
      </c>
      <c r="X19" s="175"/>
      <c r="Y19" s="175">
        <f t="shared" si="11"/>
        <v>1</v>
      </c>
      <c r="Z19" s="175">
        <f t="shared" si="12"/>
        <v>1</v>
      </c>
    </row>
    <row r="20" spans="1:26" s="161" customFormat="1" ht="15.75" customHeight="1">
      <c r="A20" s="172" t="s">
        <v>388</v>
      </c>
      <c r="B20" s="173" t="s">
        <v>389</v>
      </c>
      <c r="C20" s="174">
        <f t="shared" si="4"/>
        <v>5469000000</v>
      </c>
      <c r="D20" s="174">
        <v>3710000000</v>
      </c>
      <c r="E20" s="174">
        <f t="shared" si="5"/>
        <v>1759000000</v>
      </c>
      <c r="F20" s="174"/>
      <c r="G20" s="174">
        <f t="shared" si="6"/>
        <v>1759000000</v>
      </c>
      <c r="H20" s="174">
        <v>1660000000</v>
      </c>
      <c r="I20" s="174">
        <v>99000000</v>
      </c>
      <c r="J20" s="174">
        <v>0</v>
      </c>
      <c r="K20" s="174">
        <f t="shared" si="7"/>
        <v>5469000000</v>
      </c>
      <c r="L20" s="174">
        <v>3710000000</v>
      </c>
      <c r="M20" s="174">
        <f t="shared" si="8"/>
        <v>1759000000</v>
      </c>
      <c r="N20" s="174"/>
      <c r="O20" s="174">
        <f t="shared" si="9"/>
        <v>1759000000</v>
      </c>
      <c r="P20" s="174">
        <v>1660000000</v>
      </c>
      <c r="Q20" s="174">
        <v>99000000</v>
      </c>
      <c r="R20" s="174">
        <v>0</v>
      </c>
      <c r="S20" s="175">
        <f t="shared" si="2"/>
        <v>1</v>
      </c>
      <c r="T20" s="175">
        <f t="shared" si="2"/>
        <v>1</v>
      </c>
      <c r="U20" s="175">
        <f t="shared" si="2"/>
        <v>1</v>
      </c>
      <c r="V20" s="175"/>
      <c r="W20" s="175">
        <f t="shared" si="10"/>
        <v>1</v>
      </c>
      <c r="X20" s="175"/>
      <c r="Y20" s="175">
        <f t="shared" si="11"/>
        <v>1</v>
      </c>
      <c r="Z20" s="175"/>
    </row>
    <row r="21" spans="1:26" s="161" customFormat="1" ht="15.75" customHeight="1">
      <c r="A21" s="172" t="s">
        <v>390</v>
      </c>
      <c r="B21" s="173" t="s">
        <v>391</v>
      </c>
      <c r="C21" s="174">
        <f t="shared" si="4"/>
        <v>5904200000</v>
      </c>
      <c r="D21" s="174">
        <v>4815000000</v>
      </c>
      <c r="E21" s="174">
        <f t="shared" si="5"/>
        <v>1089200000</v>
      </c>
      <c r="F21" s="174"/>
      <c r="G21" s="174">
        <f t="shared" si="6"/>
        <v>1089200000</v>
      </c>
      <c r="H21" s="174">
        <v>40000000</v>
      </c>
      <c r="I21" s="174">
        <v>212750000</v>
      </c>
      <c r="J21" s="174">
        <v>836450000</v>
      </c>
      <c r="K21" s="174">
        <f t="shared" si="7"/>
        <v>5904200000</v>
      </c>
      <c r="L21" s="174">
        <v>4815000000</v>
      </c>
      <c r="M21" s="174">
        <f t="shared" si="8"/>
        <v>1089200000</v>
      </c>
      <c r="N21" s="174"/>
      <c r="O21" s="174">
        <f t="shared" si="9"/>
        <v>1089200000</v>
      </c>
      <c r="P21" s="174">
        <v>40000000</v>
      </c>
      <c r="Q21" s="174">
        <v>212750000</v>
      </c>
      <c r="R21" s="174">
        <v>836450000</v>
      </c>
      <c r="S21" s="175">
        <f t="shared" si="2"/>
        <v>1</v>
      </c>
      <c r="T21" s="175">
        <f t="shared" si="2"/>
        <v>1</v>
      </c>
      <c r="U21" s="175">
        <f t="shared" si="2"/>
        <v>1</v>
      </c>
      <c r="V21" s="175"/>
      <c r="W21" s="175">
        <f t="shared" si="10"/>
        <v>1</v>
      </c>
      <c r="X21" s="175"/>
      <c r="Y21" s="175">
        <f t="shared" si="11"/>
        <v>1</v>
      </c>
      <c r="Z21" s="175">
        <f t="shared" si="12"/>
        <v>1</v>
      </c>
    </row>
    <row r="22" spans="1:26" s="161" customFormat="1" ht="15.75" customHeight="1">
      <c r="A22" s="172" t="s">
        <v>392</v>
      </c>
      <c r="B22" s="173" t="s">
        <v>393</v>
      </c>
      <c r="C22" s="174">
        <f t="shared" si="4"/>
        <v>5580300000</v>
      </c>
      <c r="D22" s="174">
        <v>3951000000</v>
      </c>
      <c r="E22" s="174">
        <f t="shared" si="5"/>
        <v>1629300000</v>
      </c>
      <c r="F22" s="174"/>
      <c r="G22" s="174">
        <f t="shared" si="6"/>
        <v>1629300000</v>
      </c>
      <c r="H22" s="174">
        <v>740000000</v>
      </c>
      <c r="I22" s="174">
        <v>173300000</v>
      </c>
      <c r="J22" s="174">
        <v>716000000</v>
      </c>
      <c r="K22" s="174">
        <f t="shared" si="7"/>
        <v>5580300000</v>
      </c>
      <c r="L22" s="174">
        <v>3951000000</v>
      </c>
      <c r="M22" s="174">
        <f t="shared" si="8"/>
        <v>1629300000</v>
      </c>
      <c r="N22" s="174"/>
      <c r="O22" s="174">
        <f t="shared" si="9"/>
        <v>1629300000</v>
      </c>
      <c r="P22" s="174">
        <v>740000000</v>
      </c>
      <c r="Q22" s="174">
        <v>173300000</v>
      </c>
      <c r="R22" s="174">
        <v>716000000</v>
      </c>
      <c r="S22" s="175">
        <f t="shared" si="2"/>
        <v>1</v>
      </c>
      <c r="T22" s="175">
        <f t="shared" si="2"/>
        <v>1</v>
      </c>
      <c r="U22" s="175">
        <f t="shared" si="2"/>
        <v>1</v>
      </c>
      <c r="V22" s="175"/>
      <c r="W22" s="175">
        <f t="shared" si="10"/>
        <v>1</v>
      </c>
      <c r="X22" s="175"/>
      <c r="Y22" s="175">
        <f t="shared" si="11"/>
        <v>1</v>
      </c>
      <c r="Z22" s="175">
        <f t="shared" si="12"/>
        <v>1</v>
      </c>
    </row>
    <row r="23" spans="1:26" s="161" customFormat="1" ht="15.75" customHeight="1">
      <c r="A23" s="172" t="s">
        <v>394</v>
      </c>
      <c r="B23" s="173" t="s">
        <v>395</v>
      </c>
      <c r="C23" s="174">
        <f t="shared" si="4"/>
        <v>5890793114</v>
      </c>
      <c r="D23" s="174">
        <v>4222000000</v>
      </c>
      <c r="E23" s="174">
        <f t="shared" si="5"/>
        <v>1668793114</v>
      </c>
      <c r="F23" s="174"/>
      <c r="G23" s="174">
        <f t="shared" si="6"/>
        <v>1668793114</v>
      </c>
      <c r="H23" s="174">
        <v>200000000</v>
      </c>
      <c r="I23" s="174">
        <v>778343114</v>
      </c>
      <c r="J23" s="174">
        <v>690450000</v>
      </c>
      <c r="K23" s="174">
        <f t="shared" si="7"/>
        <v>5890793114</v>
      </c>
      <c r="L23" s="174">
        <v>4222000000</v>
      </c>
      <c r="M23" s="174">
        <f t="shared" si="8"/>
        <v>1668793114</v>
      </c>
      <c r="N23" s="174"/>
      <c r="O23" s="174">
        <f t="shared" si="9"/>
        <v>1668793114</v>
      </c>
      <c r="P23" s="174">
        <v>200000000</v>
      </c>
      <c r="Q23" s="174">
        <v>778343114</v>
      </c>
      <c r="R23" s="174">
        <v>690450000</v>
      </c>
      <c r="S23" s="175">
        <f t="shared" si="2"/>
        <v>1</v>
      </c>
      <c r="T23" s="175">
        <f t="shared" si="2"/>
        <v>1</v>
      </c>
      <c r="U23" s="175">
        <f t="shared" si="2"/>
        <v>1</v>
      </c>
      <c r="V23" s="175"/>
      <c r="W23" s="175">
        <f t="shared" si="10"/>
        <v>1</v>
      </c>
      <c r="X23" s="175"/>
      <c r="Y23" s="175">
        <f t="shared" si="11"/>
        <v>1</v>
      </c>
      <c r="Z23" s="175">
        <f t="shared" si="12"/>
        <v>1</v>
      </c>
    </row>
    <row r="24" spans="1:26" s="161" customFormat="1" ht="15.75" customHeight="1">
      <c r="A24" s="172" t="s">
        <v>396</v>
      </c>
      <c r="B24" s="173" t="s">
        <v>397</v>
      </c>
      <c r="C24" s="174">
        <f t="shared" si="4"/>
        <v>5992841500</v>
      </c>
      <c r="D24" s="174">
        <v>3635000000</v>
      </c>
      <c r="E24" s="174">
        <f t="shared" si="5"/>
        <v>2357841500</v>
      </c>
      <c r="F24" s="174"/>
      <c r="G24" s="174">
        <f t="shared" si="6"/>
        <v>2357841500</v>
      </c>
      <c r="H24" s="174">
        <v>400000000</v>
      </c>
      <c r="I24" s="174">
        <v>1187479000</v>
      </c>
      <c r="J24" s="174">
        <v>770362500</v>
      </c>
      <c r="K24" s="174">
        <f t="shared" si="7"/>
        <v>5992841500</v>
      </c>
      <c r="L24" s="174">
        <v>3635000000</v>
      </c>
      <c r="M24" s="174">
        <f t="shared" si="8"/>
        <v>2357841500</v>
      </c>
      <c r="N24" s="174"/>
      <c r="O24" s="174">
        <f t="shared" si="9"/>
        <v>2357841500</v>
      </c>
      <c r="P24" s="174">
        <v>400000000</v>
      </c>
      <c r="Q24" s="174">
        <v>1187479000</v>
      </c>
      <c r="R24" s="174">
        <v>770362500</v>
      </c>
      <c r="S24" s="175">
        <f t="shared" si="2"/>
        <v>1</v>
      </c>
      <c r="T24" s="175">
        <f t="shared" si="2"/>
        <v>1</v>
      </c>
      <c r="U24" s="175">
        <f t="shared" si="2"/>
        <v>1</v>
      </c>
      <c r="V24" s="175"/>
      <c r="W24" s="175">
        <f t="shared" si="10"/>
        <v>1</v>
      </c>
      <c r="X24" s="175"/>
      <c r="Y24" s="175">
        <f t="shared" si="11"/>
        <v>1</v>
      </c>
      <c r="Z24" s="175">
        <f t="shared" si="12"/>
        <v>1</v>
      </c>
    </row>
    <row r="25" spans="1:26" s="161" customFormat="1" ht="15.75" customHeight="1">
      <c r="A25" s="172" t="s">
        <v>398</v>
      </c>
      <c r="B25" s="173" t="s">
        <v>399</v>
      </c>
      <c r="C25" s="174">
        <f t="shared" si="4"/>
        <v>4623562500</v>
      </c>
      <c r="D25" s="174">
        <v>3795000000</v>
      </c>
      <c r="E25" s="174">
        <f t="shared" si="5"/>
        <v>828562500</v>
      </c>
      <c r="F25" s="174"/>
      <c r="G25" s="174">
        <f t="shared" si="6"/>
        <v>828562500</v>
      </c>
      <c r="H25" s="174">
        <v>40000000</v>
      </c>
      <c r="I25" s="174">
        <v>120000000</v>
      </c>
      <c r="J25" s="174">
        <v>668562500</v>
      </c>
      <c r="K25" s="174">
        <f t="shared" si="7"/>
        <v>4623562500</v>
      </c>
      <c r="L25" s="174">
        <v>3795000000</v>
      </c>
      <c r="M25" s="174">
        <f t="shared" si="8"/>
        <v>828562500</v>
      </c>
      <c r="N25" s="174"/>
      <c r="O25" s="174">
        <f t="shared" si="9"/>
        <v>828562500</v>
      </c>
      <c r="P25" s="174">
        <v>40000000</v>
      </c>
      <c r="Q25" s="174">
        <v>120000000</v>
      </c>
      <c r="R25" s="174">
        <v>668562500</v>
      </c>
      <c r="S25" s="175">
        <f t="shared" si="2"/>
        <v>1</v>
      </c>
      <c r="T25" s="175">
        <f t="shared" si="2"/>
        <v>1</v>
      </c>
      <c r="U25" s="175">
        <f t="shared" si="2"/>
        <v>1</v>
      </c>
      <c r="V25" s="175"/>
      <c r="W25" s="175">
        <f t="shared" si="10"/>
        <v>1</v>
      </c>
      <c r="X25" s="175"/>
      <c r="Y25" s="175">
        <f t="shared" si="11"/>
        <v>1</v>
      </c>
      <c r="Z25" s="175">
        <f t="shared" si="12"/>
        <v>1</v>
      </c>
    </row>
    <row r="26" spans="1:26" s="161" customFormat="1" ht="15.75" customHeight="1">
      <c r="A26" s="172" t="s">
        <v>400</v>
      </c>
      <c r="B26" s="173" t="s">
        <v>401</v>
      </c>
      <c r="C26" s="174">
        <f t="shared" si="4"/>
        <v>4811012500</v>
      </c>
      <c r="D26" s="174">
        <v>3671000000</v>
      </c>
      <c r="E26" s="174">
        <f t="shared" si="5"/>
        <v>1140012500</v>
      </c>
      <c r="F26" s="174"/>
      <c r="G26" s="174">
        <f t="shared" si="6"/>
        <v>1140012500</v>
      </c>
      <c r="H26" s="174">
        <v>120000000</v>
      </c>
      <c r="I26" s="174">
        <v>166450000</v>
      </c>
      <c r="J26" s="174">
        <v>853562500</v>
      </c>
      <c r="K26" s="174">
        <f t="shared" si="7"/>
        <v>4811012500</v>
      </c>
      <c r="L26" s="174">
        <v>3671000000</v>
      </c>
      <c r="M26" s="174">
        <f t="shared" si="8"/>
        <v>1140012500</v>
      </c>
      <c r="N26" s="174"/>
      <c r="O26" s="174">
        <f t="shared" si="9"/>
        <v>1140012500</v>
      </c>
      <c r="P26" s="174">
        <v>120000000</v>
      </c>
      <c r="Q26" s="174">
        <v>166450000</v>
      </c>
      <c r="R26" s="174">
        <v>853562500</v>
      </c>
      <c r="S26" s="175">
        <f t="shared" si="2"/>
        <v>1</v>
      </c>
      <c r="T26" s="175">
        <f t="shared" si="2"/>
        <v>1</v>
      </c>
      <c r="U26" s="175">
        <f t="shared" si="2"/>
        <v>1</v>
      </c>
      <c r="V26" s="175"/>
      <c r="W26" s="175">
        <f t="shared" si="10"/>
        <v>1</v>
      </c>
      <c r="X26" s="175"/>
      <c r="Y26" s="175">
        <f t="shared" si="11"/>
        <v>1</v>
      </c>
      <c r="Z26" s="175">
        <f t="shared" si="12"/>
        <v>1</v>
      </c>
    </row>
    <row r="27" spans="1:26" s="161" customFormat="1" ht="15.75" customHeight="1">
      <c r="A27" s="172" t="s">
        <v>402</v>
      </c>
      <c r="B27" s="173" t="s">
        <v>403</v>
      </c>
      <c r="C27" s="174">
        <f t="shared" si="4"/>
        <v>4550840000</v>
      </c>
      <c r="D27" s="174">
        <v>3824000000</v>
      </c>
      <c r="E27" s="174">
        <f t="shared" si="5"/>
        <v>726840000</v>
      </c>
      <c r="F27" s="174"/>
      <c r="G27" s="174">
        <f t="shared" si="6"/>
        <v>726840000</v>
      </c>
      <c r="H27" s="174">
        <v>40000000</v>
      </c>
      <c r="I27" s="174">
        <v>14000000</v>
      </c>
      <c r="J27" s="174">
        <v>672840000</v>
      </c>
      <c r="K27" s="174">
        <f t="shared" si="7"/>
        <v>4550840000</v>
      </c>
      <c r="L27" s="174">
        <v>3824000000</v>
      </c>
      <c r="M27" s="174">
        <f t="shared" si="8"/>
        <v>726840000</v>
      </c>
      <c r="N27" s="174"/>
      <c r="O27" s="174">
        <f t="shared" si="9"/>
        <v>726840000</v>
      </c>
      <c r="P27" s="174">
        <v>40000000</v>
      </c>
      <c r="Q27" s="174">
        <v>14000000</v>
      </c>
      <c r="R27" s="174">
        <v>672840000</v>
      </c>
      <c r="S27" s="175">
        <f t="shared" si="2"/>
        <v>1</v>
      </c>
      <c r="T27" s="175">
        <f t="shared" si="2"/>
        <v>1</v>
      </c>
      <c r="U27" s="175">
        <f t="shared" si="2"/>
        <v>1</v>
      </c>
      <c r="V27" s="175"/>
      <c r="W27" s="175">
        <f t="shared" si="10"/>
        <v>1</v>
      </c>
      <c r="X27" s="175"/>
      <c r="Y27" s="175">
        <f t="shared" si="11"/>
        <v>1</v>
      </c>
      <c r="Z27" s="175">
        <f t="shared" si="12"/>
        <v>1</v>
      </c>
    </row>
    <row r="28" spans="1:26" s="161" customFormat="1" ht="15.75" customHeight="1">
      <c r="A28" s="172" t="s">
        <v>404</v>
      </c>
      <c r="B28" s="173" t="s">
        <v>405</v>
      </c>
      <c r="C28" s="174">
        <f t="shared" si="4"/>
        <v>5320552000</v>
      </c>
      <c r="D28" s="174">
        <v>4023000000</v>
      </c>
      <c r="E28" s="174">
        <f t="shared" si="5"/>
        <v>1297552000</v>
      </c>
      <c r="F28" s="174"/>
      <c r="G28" s="174">
        <f t="shared" si="6"/>
        <v>1297552000</v>
      </c>
      <c r="H28" s="174">
        <v>600000000</v>
      </c>
      <c r="I28" s="174">
        <v>189102000</v>
      </c>
      <c r="J28" s="174">
        <v>508450000</v>
      </c>
      <c r="K28" s="174">
        <f t="shared" si="7"/>
        <v>5320552000</v>
      </c>
      <c r="L28" s="174">
        <v>4023000000</v>
      </c>
      <c r="M28" s="174">
        <f t="shared" si="8"/>
        <v>1297552000</v>
      </c>
      <c r="N28" s="174"/>
      <c r="O28" s="174">
        <f t="shared" si="9"/>
        <v>1297552000</v>
      </c>
      <c r="P28" s="174">
        <v>600000000</v>
      </c>
      <c r="Q28" s="174">
        <v>189102000</v>
      </c>
      <c r="R28" s="174">
        <v>508450000</v>
      </c>
      <c r="S28" s="175">
        <f t="shared" si="2"/>
        <v>1</v>
      </c>
      <c r="T28" s="175">
        <f t="shared" si="2"/>
        <v>1</v>
      </c>
      <c r="U28" s="175">
        <f t="shared" si="2"/>
        <v>1</v>
      </c>
      <c r="V28" s="175"/>
      <c r="W28" s="175">
        <f t="shared" si="10"/>
        <v>1</v>
      </c>
      <c r="X28" s="175"/>
      <c r="Y28" s="175">
        <f t="shared" si="11"/>
        <v>1</v>
      </c>
      <c r="Z28" s="175">
        <f t="shared" si="12"/>
        <v>1</v>
      </c>
    </row>
    <row r="29" spans="1:26" s="161" customFormat="1" ht="15.75" customHeight="1">
      <c r="A29" s="172" t="s">
        <v>406</v>
      </c>
      <c r="B29" s="173" t="s">
        <v>407</v>
      </c>
      <c r="C29" s="174">
        <f t="shared" si="4"/>
        <v>4771562500</v>
      </c>
      <c r="D29" s="174">
        <v>3965000000</v>
      </c>
      <c r="E29" s="174">
        <f t="shared" si="5"/>
        <v>806562500</v>
      </c>
      <c r="F29" s="174"/>
      <c r="G29" s="174">
        <f t="shared" si="6"/>
        <v>806562500</v>
      </c>
      <c r="H29" s="174"/>
      <c r="I29" s="174">
        <v>73000000</v>
      </c>
      <c r="J29" s="174">
        <v>733562500</v>
      </c>
      <c r="K29" s="174">
        <f t="shared" si="7"/>
        <v>4771562500</v>
      </c>
      <c r="L29" s="174">
        <v>3965000000</v>
      </c>
      <c r="M29" s="174">
        <f t="shared" si="8"/>
        <v>806562500</v>
      </c>
      <c r="N29" s="174"/>
      <c r="O29" s="174">
        <f t="shared" si="9"/>
        <v>806562500</v>
      </c>
      <c r="P29" s="174"/>
      <c r="Q29" s="174">
        <v>73000000</v>
      </c>
      <c r="R29" s="174">
        <v>733562500</v>
      </c>
      <c r="S29" s="175">
        <f t="shared" si="2"/>
        <v>1</v>
      </c>
      <c r="T29" s="175">
        <f t="shared" si="2"/>
        <v>1</v>
      </c>
      <c r="U29" s="175">
        <f t="shared" si="2"/>
        <v>1</v>
      </c>
      <c r="V29" s="175"/>
      <c r="W29" s="175">
        <f t="shared" si="10"/>
        <v>1</v>
      </c>
      <c r="X29" s="175"/>
      <c r="Y29" s="175">
        <f t="shared" si="11"/>
        <v>1</v>
      </c>
      <c r="Z29" s="175">
        <f t="shared" si="12"/>
        <v>1</v>
      </c>
    </row>
    <row r="30" spans="1:26" s="161" customFormat="1" ht="15.75" customHeight="1">
      <c r="A30" s="172" t="s">
        <v>408</v>
      </c>
      <c r="B30" s="173" t="s">
        <v>409</v>
      </c>
      <c r="C30" s="174">
        <f t="shared" si="4"/>
        <v>5065897956</v>
      </c>
      <c r="D30" s="174">
        <v>3443000000</v>
      </c>
      <c r="E30" s="174">
        <f t="shared" si="5"/>
        <v>1622897956</v>
      </c>
      <c r="F30" s="174"/>
      <c r="G30" s="174">
        <f t="shared" si="6"/>
        <v>1622897956</v>
      </c>
      <c r="H30" s="174">
        <v>20000000</v>
      </c>
      <c r="I30" s="174">
        <v>983335456</v>
      </c>
      <c r="J30" s="174">
        <v>619562500</v>
      </c>
      <c r="K30" s="174">
        <f t="shared" si="7"/>
        <v>5065897956</v>
      </c>
      <c r="L30" s="174">
        <v>3443000000</v>
      </c>
      <c r="M30" s="174">
        <f t="shared" si="8"/>
        <v>1622897956</v>
      </c>
      <c r="N30" s="174"/>
      <c r="O30" s="174">
        <f t="shared" si="9"/>
        <v>1622897956</v>
      </c>
      <c r="P30" s="174">
        <v>20000000</v>
      </c>
      <c r="Q30" s="174">
        <v>983335456</v>
      </c>
      <c r="R30" s="174">
        <v>619562500</v>
      </c>
      <c r="S30" s="175">
        <f t="shared" si="2"/>
        <v>1</v>
      </c>
      <c r="T30" s="175">
        <f t="shared" si="2"/>
        <v>1</v>
      </c>
      <c r="U30" s="175">
        <f t="shared" si="2"/>
        <v>1</v>
      </c>
      <c r="V30" s="175"/>
      <c r="W30" s="175">
        <f t="shared" si="10"/>
        <v>1</v>
      </c>
      <c r="X30" s="175"/>
      <c r="Y30" s="175">
        <f t="shared" si="11"/>
        <v>1</v>
      </c>
      <c r="Z30" s="175">
        <f t="shared" si="12"/>
        <v>1</v>
      </c>
    </row>
    <row r="31" spans="1:26" s="161" customFormat="1" ht="15.75" customHeight="1">
      <c r="A31" s="172" t="s">
        <v>410</v>
      </c>
      <c r="B31" s="173" t="s">
        <v>411</v>
      </c>
      <c r="C31" s="174">
        <f t="shared" si="4"/>
        <v>5553100000</v>
      </c>
      <c r="D31" s="174">
        <v>4290000000</v>
      </c>
      <c r="E31" s="174">
        <f t="shared" si="5"/>
        <v>1263100000</v>
      </c>
      <c r="F31" s="174"/>
      <c r="G31" s="174">
        <f t="shared" si="6"/>
        <v>1263100000</v>
      </c>
      <c r="H31" s="174">
        <v>400000000</v>
      </c>
      <c r="I31" s="174">
        <v>181450000</v>
      </c>
      <c r="J31" s="174">
        <v>681650000</v>
      </c>
      <c r="K31" s="174">
        <f t="shared" si="7"/>
        <v>5553100000</v>
      </c>
      <c r="L31" s="174">
        <v>4290000000</v>
      </c>
      <c r="M31" s="174">
        <f t="shared" si="8"/>
        <v>1263100000</v>
      </c>
      <c r="N31" s="174"/>
      <c r="O31" s="174">
        <f t="shared" si="9"/>
        <v>1263100000</v>
      </c>
      <c r="P31" s="174">
        <v>400000000</v>
      </c>
      <c r="Q31" s="174">
        <v>181450000</v>
      </c>
      <c r="R31" s="174">
        <v>681650000</v>
      </c>
      <c r="S31" s="175">
        <f t="shared" si="2"/>
        <v>1</v>
      </c>
      <c r="T31" s="175">
        <f t="shared" si="2"/>
        <v>1</v>
      </c>
      <c r="U31" s="175">
        <f t="shared" si="2"/>
        <v>1</v>
      </c>
      <c r="V31" s="175"/>
      <c r="W31" s="175">
        <f t="shared" si="10"/>
        <v>1</v>
      </c>
      <c r="X31" s="175"/>
      <c r="Y31" s="175">
        <f t="shared" si="11"/>
        <v>1</v>
      </c>
      <c r="Z31" s="175">
        <f t="shared" si="12"/>
        <v>1</v>
      </c>
    </row>
    <row r="32" spans="1:26" s="161" customFormat="1" ht="15.75" customHeight="1">
      <c r="A32" s="172" t="s">
        <v>412</v>
      </c>
      <c r="B32" s="173" t="s">
        <v>413</v>
      </c>
      <c r="C32" s="174">
        <f t="shared" si="4"/>
        <v>12409679931</v>
      </c>
      <c r="D32" s="174">
        <v>6041000000</v>
      </c>
      <c r="E32" s="174">
        <f t="shared" si="5"/>
        <v>6368679931</v>
      </c>
      <c r="F32" s="174"/>
      <c r="G32" s="174">
        <f t="shared" si="6"/>
        <v>6368679931</v>
      </c>
      <c r="H32" s="174">
        <v>1120000000</v>
      </c>
      <c r="I32" s="174">
        <v>449550000</v>
      </c>
      <c r="J32" s="174">
        <v>4799129931</v>
      </c>
      <c r="K32" s="174">
        <f t="shared" si="7"/>
        <v>12409679931</v>
      </c>
      <c r="L32" s="174">
        <v>6041000000</v>
      </c>
      <c r="M32" s="174">
        <f t="shared" si="8"/>
        <v>6368679931</v>
      </c>
      <c r="N32" s="174"/>
      <c r="O32" s="174">
        <f t="shared" si="9"/>
        <v>6368679931</v>
      </c>
      <c r="P32" s="174">
        <v>1120000000</v>
      </c>
      <c r="Q32" s="174">
        <v>449550000</v>
      </c>
      <c r="R32" s="174">
        <v>4799129931</v>
      </c>
      <c r="S32" s="175">
        <f t="shared" si="2"/>
        <v>1</v>
      </c>
      <c r="T32" s="175">
        <f t="shared" si="2"/>
        <v>1</v>
      </c>
      <c r="U32" s="175">
        <f t="shared" si="2"/>
        <v>1</v>
      </c>
      <c r="V32" s="175"/>
      <c r="W32" s="175">
        <f t="shared" si="10"/>
        <v>1</v>
      </c>
      <c r="X32" s="175"/>
      <c r="Y32" s="175">
        <f t="shared" si="11"/>
        <v>1</v>
      </c>
      <c r="Z32" s="175">
        <f t="shared" si="12"/>
        <v>1</v>
      </c>
    </row>
    <row r="33" spans="1:26" s="162" customFormat="1" ht="15.75" customHeight="1">
      <c r="A33" s="176" t="s">
        <v>414</v>
      </c>
      <c r="B33" s="177" t="s">
        <v>415</v>
      </c>
      <c r="C33" s="178">
        <f t="shared" si="4"/>
        <v>5419083500</v>
      </c>
      <c r="D33" s="178">
        <v>3854000000</v>
      </c>
      <c r="E33" s="178">
        <f t="shared" si="5"/>
        <v>1565083500</v>
      </c>
      <c r="F33" s="178"/>
      <c r="G33" s="178">
        <f t="shared" si="6"/>
        <v>1565083500</v>
      </c>
      <c r="H33" s="178">
        <v>400000000</v>
      </c>
      <c r="I33" s="178">
        <v>474521000</v>
      </c>
      <c r="J33" s="178">
        <v>690562500</v>
      </c>
      <c r="K33" s="178">
        <f t="shared" si="7"/>
        <v>5419083500</v>
      </c>
      <c r="L33" s="178">
        <v>3854000000</v>
      </c>
      <c r="M33" s="178">
        <f t="shared" si="8"/>
        <v>1565083500</v>
      </c>
      <c r="N33" s="178"/>
      <c r="O33" s="178">
        <f t="shared" si="9"/>
        <v>1565083500</v>
      </c>
      <c r="P33" s="178">
        <v>400000000</v>
      </c>
      <c r="Q33" s="178">
        <v>474521000</v>
      </c>
      <c r="R33" s="178">
        <v>690562500</v>
      </c>
      <c r="S33" s="179">
        <f t="shared" si="2"/>
        <v>1</v>
      </c>
      <c r="T33" s="179">
        <f t="shared" si="2"/>
        <v>1</v>
      </c>
      <c r="U33" s="179">
        <f t="shared" si="2"/>
        <v>1</v>
      </c>
      <c r="V33" s="179"/>
      <c r="W33" s="179">
        <f t="shared" si="10"/>
        <v>1</v>
      </c>
      <c r="X33" s="179"/>
      <c r="Y33" s="179">
        <f t="shared" si="11"/>
        <v>1</v>
      </c>
      <c r="Z33" s="179">
        <f t="shared" si="12"/>
        <v>1</v>
      </c>
    </row>
    <row r="34" spans="1:26" ht="18.75">
      <c r="A34" s="163"/>
      <c r="B34" s="157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8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8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8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8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8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8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8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8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8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22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8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8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8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8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</sheetData>
  <sheetProtection/>
  <mergeCells count="37">
    <mergeCell ref="A2:J2"/>
    <mergeCell ref="A3:J3"/>
    <mergeCell ref="F8:F12"/>
    <mergeCell ref="G8:G12"/>
    <mergeCell ref="A5:A12"/>
    <mergeCell ref="B5:B12"/>
    <mergeCell ref="W8:W12"/>
    <mergeCell ref="R7:R12"/>
    <mergeCell ref="U7:U12"/>
    <mergeCell ref="V7:W7"/>
    <mergeCell ref="S6:S12"/>
    <mergeCell ref="T6:T12"/>
    <mergeCell ref="U6:Z6"/>
    <mergeCell ref="X7:X12"/>
    <mergeCell ref="P7:P12"/>
    <mergeCell ref="C5:J5"/>
    <mergeCell ref="Q7:Q12"/>
    <mergeCell ref="V8:V12"/>
    <mergeCell ref="K5:R5"/>
    <mergeCell ref="N8:N12"/>
    <mergeCell ref="O8:O12"/>
    <mergeCell ref="C6:C12"/>
    <mergeCell ref="D6:D12"/>
    <mergeCell ref="E6:J6"/>
    <mergeCell ref="K6:K12"/>
    <mergeCell ref="I7:I12"/>
    <mergeCell ref="J7:J12"/>
    <mergeCell ref="E7:E12"/>
    <mergeCell ref="F7:G7"/>
    <mergeCell ref="H7:H12"/>
    <mergeCell ref="S5:Z5"/>
    <mergeCell ref="L6:L12"/>
    <mergeCell ref="M6:R6"/>
    <mergeCell ref="Y7:Y12"/>
    <mergeCell ref="Z7:Z12"/>
    <mergeCell ref="M7:M12"/>
    <mergeCell ref="N7:O7"/>
  </mergeCells>
  <printOptions/>
  <pageMargins left="0.3" right="0.17" top="0.37" bottom="0.748031496062992" header="0.31496062992126" footer="0.31496062992126"/>
  <pageSetup horizontalDpi="600" verticalDpi="600" orientation="landscape" r:id="rId1"/>
  <headerFooter alignWithMargins="0"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F11" sqref="F11"/>
    </sheetView>
  </sheetViews>
  <sheetFormatPr defaultColWidth="8.796875" defaultRowHeight="15"/>
  <cols>
    <col min="1" max="1" width="6.69921875" style="200" customWidth="1"/>
    <col min="2" max="2" width="21.296875" style="200" customWidth="1"/>
    <col min="3" max="3" width="18.69921875" style="200" bestFit="1" customWidth="1"/>
    <col min="4" max="4" width="17.796875" style="200" customWidth="1"/>
    <col min="5" max="5" width="18" style="200" customWidth="1"/>
    <col min="6" max="6" width="19.8984375" style="200" customWidth="1"/>
    <col min="7" max="7" width="16.09765625" style="200" customWidth="1"/>
    <col min="8" max="8" width="12.09765625" style="200" customWidth="1"/>
    <col min="9" max="9" width="16.09765625" style="200" customWidth="1"/>
    <col min="10" max="16384" width="9" style="200" customWidth="1"/>
  </cols>
  <sheetData>
    <row r="1" spans="1:9" ht="17.25" customHeight="1">
      <c r="A1" s="196"/>
      <c r="B1" s="196"/>
      <c r="C1" s="197"/>
      <c r="D1" s="197"/>
      <c r="E1" s="197"/>
      <c r="F1" s="197"/>
      <c r="G1" s="197"/>
      <c r="H1" s="199" t="s">
        <v>289</v>
      </c>
      <c r="I1" s="199"/>
    </row>
    <row r="2" spans="1:9" ht="20.25">
      <c r="A2" s="744" t="s">
        <v>646</v>
      </c>
      <c r="B2" s="744"/>
      <c r="C2" s="744"/>
      <c r="D2" s="744"/>
      <c r="E2" s="744"/>
      <c r="F2" s="744"/>
      <c r="G2" s="744"/>
      <c r="H2" s="744"/>
      <c r="I2" s="201"/>
    </row>
    <row r="3" spans="1:9" ht="15.75">
      <c r="A3" s="745" t="str">
        <f>'Biểu 48'!A3</f>
        <v>(Kèm theo Nghị quyết số          /2019/NQ-HĐND ngày         /      /2019 của HĐND huyện Tuần Giáo)</v>
      </c>
      <c r="B3" s="745"/>
      <c r="C3" s="745"/>
      <c r="D3" s="745"/>
      <c r="E3" s="745"/>
      <c r="F3" s="745"/>
      <c r="G3" s="745"/>
      <c r="H3" s="745"/>
      <c r="I3" s="197"/>
    </row>
    <row r="4" spans="1:9" ht="18.75">
      <c r="A4" s="202"/>
      <c r="B4" s="202"/>
      <c r="C4" s="203"/>
      <c r="D4" s="203"/>
      <c r="E4" s="203"/>
      <c r="F4" s="203"/>
      <c r="G4" s="203"/>
      <c r="H4" s="397" t="s">
        <v>276</v>
      </c>
      <c r="I4" s="415"/>
    </row>
    <row r="5" spans="1:9" s="204" customFormat="1" ht="16.5">
      <c r="A5" s="740" t="s">
        <v>61</v>
      </c>
      <c r="B5" s="743" t="s">
        <v>416</v>
      </c>
      <c r="C5" s="740" t="s">
        <v>290</v>
      </c>
      <c r="D5" s="746" t="s">
        <v>31</v>
      </c>
      <c r="E5" s="746"/>
      <c r="F5" s="746"/>
      <c r="G5" s="746"/>
      <c r="H5" s="746"/>
      <c r="I5" s="416"/>
    </row>
    <row r="6" spans="1:9" s="204" customFormat="1" ht="16.5" customHeight="1">
      <c r="A6" s="741"/>
      <c r="B6" s="741"/>
      <c r="C6" s="738"/>
      <c r="D6" s="737" t="s">
        <v>291</v>
      </c>
      <c r="E6" s="737" t="s">
        <v>292</v>
      </c>
      <c r="F6" s="737" t="s">
        <v>417</v>
      </c>
      <c r="G6" s="737" t="s">
        <v>68</v>
      </c>
      <c r="H6" s="737" t="s">
        <v>293</v>
      </c>
      <c r="I6" s="417"/>
    </row>
    <row r="7" spans="1:9" s="204" customFormat="1" ht="16.5">
      <c r="A7" s="741"/>
      <c r="B7" s="741"/>
      <c r="C7" s="738"/>
      <c r="D7" s="738"/>
      <c r="E7" s="738"/>
      <c r="F7" s="738"/>
      <c r="G7" s="738"/>
      <c r="H7" s="738"/>
      <c r="I7" s="417"/>
    </row>
    <row r="8" spans="1:9" s="204" customFormat="1" ht="12.75" customHeight="1">
      <c r="A8" s="741"/>
      <c r="B8" s="741"/>
      <c r="C8" s="738"/>
      <c r="D8" s="738"/>
      <c r="E8" s="738"/>
      <c r="F8" s="738"/>
      <c r="G8" s="738"/>
      <c r="H8" s="738"/>
      <c r="I8" s="417"/>
    </row>
    <row r="9" spans="1:9" s="204" customFormat="1" ht="8.25" customHeight="1">
      <c r="A9" s="742"/>
      <c r="B9" s="742"/>
      <c r="C9" s="739"/>
      <c r="D9" s="739"/>
      <c r="E9" s="739"/>
      <c r="F9" s="739"/>
      <c r="G9" s="739"/>
      <c r="H9" s="739"/>
      <c r="I9" s="417"/>
    </row>
    <row r="10" spans="1:9" s="420" customFormat="1" ht="14.25" customHeight="1">
      <c r="A10" s="418" t="s">
        <v>9</v>
      </c>
      <c r="B10" s="418" t="s">
        <v>10</v>
      </c>
      <c r="C10" s="418">
        <v>1</v>
      </c>
      <c r="D10" s="418">
        <f>C10+1</f>
        <v>2</v>
      </c>
      <c r="E10" s="418">
        <f>D10+1</f>
        <v>3</v>
      </c>
      <c r="F10" s="418">
        <f>E10+1</f>
        <v>4</v>
      </c>
      <c r="G10" s="418">
        <v>5</v>
      </c>
      <c r="H10" s="418">
        <v>6</v>
      </c>
      <c r="I10" s="419"/>
    </row>
    <row r="11" spans="1:9" s="213" customFormat="1" ht="21" customHeight="1">
      <c r="A11" s="421"/>
      <c r="B11" s="422" t="s">
        <v>29</v>
      </c>
      <c r="C11" s="423">
        <f aca="true" t="shared" si="0" ref="C11:H11">SUM(C12:C30)</f>
        <v>134093120127</v>
      </c>
      <c r="D11" s="423">
        <f t="shared" si="0"/>
        <v>6938013021</v>
      </c>
      <c r="E11" s="423">
        <f t="shared" si="0"/>
        <v>81470000000</v>
      </c>
      <c r="F11" s="423">
        <f t="shared" si="0"/>
        <v>39328698262</v>
      </c>
      <c r="G11" s="423">
        <f t="shared" si="0"/>
        <v>6356408844</v>
      </c>
      <c r="H11" s="423">
        <f t="shared" si="0"/>
        <v>0</v>
      </c>
      <c r="I11" s="424"/>
    </row>
    <row r="12" spans="1:9" s="203" customFormat="1" ht="18.75">
      <c r="A12" s="428" t="s">
        <v>378</v>
      </c>
      <c r="B12" s="429" t="s">
        <v>379</v>
      </c>
      <c r="C12" s="425">
        <f>SUM(D12:H12)</f>
        <v>9550331795</v>
      </c>
      <c r="D12" s="425">
        <v>278499109</v>
      </c>
      <c r="E12" s="425">
        <v>5960000000</v>
      </c>
      <c r="F12" s="425">
        <v>2292491500</v>
      </c>
      <c r="G12" s="425">
        <v>1019341186</v>
      </c>
      <c r="H12" s="425"/>
      <c r="I12" s="426"/>
    </row>
    <row r="13" spans="1:9" s="203" customFormat="1" ht="18.75">
      <c r="A13" s="428" t="s">
        <v>380</v>
      </c>
      <c r="B13" s="429" t="s">
        <v>381</v>
      </c>
      <c r="C13" s="425">
        <f>SUM(D13:H13)</f>
        <v>5669459232</v>
      </c>
      <c r="D13" s="425">
        <v>20607776</v>
      </c>
      <c r="E13" s="425">
        <v>4097000000</v>
      </c>
      <c r="F13" s="425">
        <v>1451105020</v>
      </c>
      <c r="G13" s="425">
        <v>100746436</v>
      </c>
      <c r="H13" s="425"/>
      <c r="I13" s="426"/>
    </row>
    <row r="14" spans="1:9" s="203" customFormat="1" ht="18.75">
      <c r="A14" s="428" t="s">
        <v>382</v>
      </c>
      <c r="B14" s="429" t="s">
        <v>383</v>
      </c>
      <c r="C14" s="425">
        <f>SUM(D14:H14)</f>
        <v>7263815331</v>
      </c>
      <c r="D14" s="425">
        <v>99307933</v>
      </c>
      <c r="E14" s="425">
        <v>4483000000</v>
      </c>
      <c r="F14" s="425">
        <v>2622191921</v>
      </c>
      <c r="G14" s="425">
        <v>59315477</v>
      </c>
      <c r="H14" s="425"/>
      <c r="I14" s="426"/>
    </row>
    <row r="15" spans="1:9" s="203" customFormat="1" ht="18.75">
      <c r="A15" s="428" t="s">
        <v>384</v>
      </c>
      <c r="B15" s="429" t="s">
        <v>385</v>
      </c>
      <c r="C15" s="425">
        <f aca="true" t="shared" si="1" ref="C15:C30">SUM(D15:H15)</f>
        <v>13829073184</v>
      </c>
      <c r="D15" s="425">
        <v>247639497</v>
      </c>
      <c r="E15" s="425">
        <v>5560000000</v>
      </c>
      <c r="F15" s="425">
        <v>7253034320</v>
      </c>
      <c r="G15" s="425">
        <v>768399367</v>
      </c>
      <c r="H15" s="425"/>
      <c r="I15" s="426"/>
    </row>
    <row r="16" spans="1:9" s="203" customFormat="1" ht="18.75">
      <c r="A16" s="428" t="s">
        <v>386</v>
      </c>
      <c r="B16" s="429" t="s">
        <v>387</v>
      </c>
      <c r="C16" s="425">
        <f t="shared" si="1"/>
        <v>7059549086</v>
      </c>
      <c r="D16" s="425">
        <v>891385815</v>
      </c>
      <c r="E16" s="425">
        <v>4131000000</v>
      </c>
      <c r="F16" s="425">
        <v>1586450000</v>
      </c>
      <c r="G16" s="425">
        <v>450713271</v>
      </c>
      <c r="H16" s="425"/>
      <c r="I16" s="426"/>
    </row>
    <row r="17" spans="1:9" s="203" customFormat="1" ht="18.75">
      <c r="A17" s="428" t="s">
        <v>388</v>
      </c>
      <c r="B17" s="429" t="s">
        <v>389</v>
      </c>
      <c r="C17" s="425">
        <f t="shared" si="1"/>
        <v>11469848615</v>
      </c>
      <c r="D17" s="425">
        <v>4779277415</v>
      </c>
      <c r="E17" s="425">
        <v>3710000000</v>
      </c>
      <c r="F17" s="425">
        <v>1759000000</v>
      </c>
      <c r="G17" s="425">
        <v>1221571200</v>
      </c>
      <c r="H17" s="425"/>
      <c r="I17" s="426"/>
    </row>
    <row r="18" spans="1:9" s="203" customFormat="1" ht="18.75">
      <c r="A18" s="428" t="s">
        <v>390</v>
      </c>
      <c r="B18" s="429" t="s">
        <v>391</v>
      </c>
      <c r="C18" s="425">
        <f t="shared" si="1"/>
        <v>6521831526</v>
      </c>
      <c r="D18" s="425">
        <v>85369073</v>
      </c>
      <c r="E18" s="425">
        <v>4815000000</v>
      </c>
      <c r="F18" s="425">
        <v>1089200000</v>
      </c>
      <c r="G18" s="425">
        <v>532262453</v>
      </c>
      <c r="H18" s="425"/>
      <c r="I18" s="426"/>
    </row>
    <row r="19" spans="1:9" s="203" customFormat="1" ht="18.75">
      <c r="A19" s="428" t="s">
        <v>392</v>
      </c>
      <c r="B19" s="429" t="s">
        <v>393</v>
      </c>
      <c r="C19" s="425">
        <f t="shared" si="1"/>
        <v>5697604858</v>
      </c>
      <c r="D19" s="425">
        <v>22600000</v>
      </c>
      <c r="E19" s="425">
        <v>3951000000</v>
      </c>
      <c r="F19" s="425">
        <v>1629300000</v>
      </c>
      <c r="G19" s="425">
        <v>94704858</v>
      </c>
      <c r="H19" s="425"/>
      <c r="I19" s="426"/>
    </row>
    <row r="20" spans="1:9" s="203" customFormat="1" ht="18.75">
      <c r="A20" s="428" t="s">
        <v>394</v>
      </c>
      <c r="B20" s="429" t="s">
        <v>395</v>
      </c>
      <c r="C20" s="425">
        <f t="shared" si="1"/>
        <v>6013444408</v>
      </c>
      <c r="D20" s="425">
        <v>37592844</v>
      </c>
      <c r="E20" s="425">
        <v>4222000000</v>
      </c>
      <c r="F20" s="425">
        <v>1668793114</v>
      </c>
      <c r="G20" s="425">
        <v>85058450</v>
      </c>
      <c r="H20" s="425"/>
      <c r="I20" s="426"/>
    </row>
    <row r="21" spans="1:9" s="203" customFormat="1" ht="18.75">
      <c r="A21" s="428" t="s">
        <v>396</v>
      </c>
      <c r="B21" s="429" t="s">
        <v>397</v>
      </c>
      <c r="C21" s="425">
        <f t="shared" si="1"/>
        <v>6094850770</v>
      </c>
      <c r="D21" s="425">
        <v>16000000</v>
      </c>
      <c r="E21" s="425">
        <v>3635000000</v>
      </c>
      <c r="F21" s="425">
        <v>2357841500</v>
      </c>
      <c r="G21" s="425">
        <v>86009270</v>
      </c>
      <c r="H21" s="425"/>
      <c r="I21" s="426"/>
    </row>
    <row r="22" spans="1:9" s="203" customFormat="1" ht="18.75">
      <c r="A22" s="428" t="s">
        <v>398</v>
      </c>
      <c r="B22" s="429" t="s">
        <v>399</v>
      </c>
      <c r="C22" s="425">
        <f t="shared" si="1"/>
        <v>4757127836</v>
      </c>
      <c r="D22" s="425">
        <v>55041924</v>
      </c>
      <c r="E22" s="425">
        <v>3795000000</v>
      </c>
      <c r="F22" s="425">
        <v>828562500</v>
      </c>
      <c r="G22" s="425">
        <v>78523412</v>
      </c>
      <c r="H22" s="425"/>
      <c r="I22" s="426"/>
    </row>
    <row r="23" spans="1:9" s="203" customFormat="1" ht="18.75">
      <c r="A23" s="428" t="s">
        <v>400</v>
      </c>
      <c r="B23" s="429" t="s">
        <v>401</v>
      </c>
      <c r="C23" s="425">
        <f t="shared" si="1"/>
        <v>5077225443</v>
      </c>
      <c r="D23" s="425">
        <v>15733000</v>
      </c>
      <c r="E23" s="425">
        <v>3671000000</v>
      </c>
      <c r="F23" s="425">
        <v>1140012500</v>
      </c>
      <c r="G23" s="425">
        <v>250479943</v>
      </c>
      <c r="H23" s="425"/>
      <c r="I23" s="426"/>
    </row>
    <row r="24" spans="1:9" s="203" customFormat="1" ht="18.75">
      <c r="A24" s="428" t="s">
        <v>402</v>
      </c>
      <c r="B24" s="429" t="s">
        <v>403</v>
      </c>
      <c r="C24" s="425">
        <f t="shared" si="1"/>
        <v>4720677799</v>
      </c>
      <c r="D24" s="425">
        <v>44712000</v>
      </c>
      <c r="E24" s="425">
        <v>3824000000</v>
      </c>
      <c r="F24" s="425">
        <v>726840000</v>
      </c>
      <c r="G24" s="425">
        <v>125125799</v>
      </c>
      <c r="H24" s="425"/>
      <c r="I24" s="426"/>
    </row>
    <row r="25" spans="1:9" s="203" customFormat="1" ht="18.75">
      <c r="A25" s="428" t="s">
        <v>404</v>
      </c>
      <c r="B25" s="429" t="s">
        <v>405</v>
      </c>
      <c r="C25" s="425">
        <f t="shared" si="1"/>
        <v>5422884798</v>
      </c>
      <c r="D25" s="425">
        <v>55344262</v>
      </c>
      <c r="E25" s="425">
        <v>4023000000</v>
      </c>
      <c r="F25" s="425">
        <v>1297552000</v>
      </c>
      <c r="G25" s="425">
        <v>46988536</v>
      </c>
      <c r="H25" s="425"/>
      <c r="I25" s="426"/>
    </row>
    <row r="26" spans="1:9" s="203" customFormat="1" ht="18.75">
      <c r="A26" s="428" t="s">
        <v>406</v>
      </c>
      <c r="B26" s="429" t="s">
        <v>407</v>
      </c>
      <c r="C26" s="425">
        <f t="shared" si="1"/>
        <v>4873034644</v>
      </c>
      <c r="D26" s="425">
        <v>8221400</v>
      </c>
      <c r="E26" s="425">
        <v>3965000000</v>
      </c>
      <c r="F26" s="425">
        <v>806562500</v>
      </c>
      <c r="G26" s="425">
        <v>93250744</v>
      </c>
      <c r="H26" s="425"/>
      <c r="I26" s="426"/>
    </row>
    <row r="27" spans="1:9" s="203" customFormat="1" ht="18.75">
      <c r="A27" s="428" t="s">
        <v>408</v>
      </c>
      <c r="B27" s="429" t="s">
        <v>409</v>
      </c>
      <c r="C27" s="425">
        <f t="shared" si="1"/>
        <v>5307718596</v>
      </c>
      <c r="D27" s="425">
        <v>14450000</v>
      </c>
      <c r="E27" s="425">
        <v>3443000000</v>
      </c>
      <c r="F27" s="425">
        <v>1622897956</v>
      </c>
      <c r="G27" s="425">
        <v>227370640</v>
      </c>
      <c r="H27" s="425"/>
      <c r="I27" s="426"/>
    </row>
    <row r="28" spans="1:9" s="203" customFormat="1" ht="18.75">
      <c r="A28" s="428" t="s">
        <v>410</v>
      </c>
      <c r="B28" s="429" t="s">
        <v>411</v>
      </c>
      <c r="C28" s="425">
        <f>SUM(D28:H28)</f>
        <v>5679405513</v>
      </c>
      <c r="D28" s="425">
        <v>32095000</v>
      </c>
      <c r="E28" s="425">
        <v>4290000000</v>
      </c>
      <c r="F28" s="425">
        <v>1263100000</v>
      </c>
      <c r="G28" s="425">
        <v>94210513</v>
      </c>
      <c r="H28" s="425"/>
      <c r="I28" s="426"/>
    </row>
    <row r="29" spans="1:9" s="203" customFormat="1" ht="18.75">
      <c r="A29" s="428" t="s">
        <v>412</v>
      </c>
      <c r="B29" s="429" t="s">
        <v>413</v>
      </c>
      <c r="C29" s="425">
        <f t="shared" si="1"/>
        <v>12977842953</v>
      </c>
      <c r="D29" s="425">
        <v>205588973</v>
      </c>
      <c r="E29" s="425">
        <v>6041000000</v>
      </c>
      <c r="F29" s="425">
        <v>6368679931</v>
      </c>
      <c r="G29" s="425">
        <v>362574049</v>
      </c>
      <c r="H29" s="425"/>
      <c r="I29" s="426"/>
    </row>
    <row r="30" spans="1:9" s="203" customFormat="1" ht="18.75">
      <c r="A30" s="430" t="s">
        <v>414</v>
      </c>
      <c r="B30" s="431" t="s">
        <v>415</v>
      </c>
      <c r="C30" s="427">
        <f t="shared" si="1"/>
        <v>6107393740</v>
      </c>
      <c r="D30" s="427">
        <v>28547000</v>
      </c>
      <c r="E30" s="427">
        <v>3854000000</v>
      </c>
      <c r="F30" s="427">
        <v>1565083500</v>
      </c>
      <c r="G30" s="427">
        <v>659763240</v>
      </c>
      <c r="H30" s="427"/>
      <c r="I30" s="426"/>
    </row>
  </sheetData>
  <sheetProtection/>
  <mergeCells count="11">
    <mergeCell ref="A2:H2"/>
    <mergeCell ref="A3:H3"/>
    <mergeCell ref="C5:C9"/>
    <mergeCell ref="D5:H5"/>
    <mergeCell ref="D6:D9"/>
    <mergeCell ref="E6:E9"/>
    <mergeCell ref="F6:F9"/>
    <mergeCell ref="G6:G9"/>
    <mergeCell ref="H6:H9"/>
    <mergeCell ref="A5:A9"/>
    <mergeCell ref="B5:B9"/>
  </mergeCells>
  <printOptions/>
  <pageMargins left="0.44" right="0.16" top="0.42" bottom="0.27" header="0.39" footer="0.2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2">
      <pane xSplit="3" ySplit="10" topLeftCell="G12" activePane="bottomRight" state="frozen"/>
      <selection pane="topLeft" activeCell="A2" sqref="A2"/>
      <selection pane="topRight" activeCell="D2" sqref="D2"/>
      <selection pane="bottomLeft" activeCell="A12" sqref="A12"/>
      <selection pane="bottomRight" activeCell="G23" sqref="G23"/>
    </sheetView>
  </sheetViews>
  <sheetFormatPr defaultColWidth="8.796875" defaultRowHeight="15"/>
  <cols>
    <col min="1" max="1" width="6" style="16" customWidth="1"/>
    <col min="2" max="2" width="21" style="16" customWidth="1"/>
    <col min="3" max="3" width="14.8984375" style="16" customWidth="1"/>
    <col min="4" max="5" width="13.09765625" style="16" customWidth="1"/>
    <col min="6" max="11" width="14.3984375" style="16" customWidth="1"/>
    <col min="12" max="12" width="11.3984375" style="16" customWidth="1"/>
    <col min="13" max="13" width="14.8984375" style="16" customWidth="1"/>
    <col min="14" max="14" width="14" style="16" customWidth="1"/>
    <col min="15" max="15" width="12.09765625" style="16" customWidth="1"/>
    <col min="16" max="16" width="15.09765625" style="16" customWidth="1"/>
    <col min="17" max="17" width="15.19921875" style="16" customWidth="1"/>
    <col min="18" max="18" width="13.69921875" style="16" customWidth="1"/>
    <col min="19" max="19" width="12.69921875" style="16" customWidth="1"/>
    <col min="20" max="20" width="13.296875" style="16" customWidth="1"/>
    <col min="21" max="21" width="13.8984375" style="16" customWidth="1"/>
    <col min="22" max="22" width="11.09765625" style="16" customWidth="1"/>
    <col min="23" max="23" width="9.09765625" style="16" customWidth="1"/>
    <col min="24" max="24" width="10" style="16" customWidth="1"/>
    <col min="25" max="25" width="10.69921875" style="16" customWidth="1"/>
    <col min="26" max="26" width="10.796875" style="16" customWidth="1"/>
    <col min="27" max="27" width="11.8984375" style="16" hidden="1" customWidth="1"/>
    <col min="28" max="30" width="11.8984375" style="16" customWidth="1"/>
    <col min="31" max="16384" width="9" style="16" customWidth="1"/>
  </cols>
  <sheetData>
    <row r="1" spans="1:22" ht="18.75" customHeight="1">
      <c r="A1" s="13"/>
      <c r="B1" s="13"/>
      <c r="C1" s="14"/>
      <c r="D1" s="14"/>
      <c r="E1" s="14"/>
      <c r="F1" s="14"/>
      <c r="G1" s="14"/>
      <c r="H1" s="14"/>
      <c r="I1" s="14"/>
      <c r="K1" s="756" t="s">
        <v>132</v>
      </c>
      <c r="L1" s="756"/>
      <c r="P1" s="14"/>
      <c r="Q1" s="14"/>
      <c r="R1" s="14"/>
      <c r="S1" s="14"/>
      <c r="T1" s="15"/>
      <c r="U1" s="15"/>
      <c r="V1" s="14"/>
    </row>
    <row r="2" spans="1:25" ht="21.75" customHeight="1">
      <c r="A2" s="763" t="s">
        <v>571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588"/>
      <c r="N2" s="588"/>
      <c r="O2" s="588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9" ht="15.75" customHeight="1">
      <c r="A3" s="736" t="str">
        <f>'Biểu 48'!A3</f>
        <v>(Kèm theo Nghị quyết số          /2019/NQ-HĐND ngày         /      /2019 của HĐND huyện Tuần Giáo)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443"/>
      <c r="N3" s="443"/>
      <c r="O3" s="443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</row>
    <row r="4" spans="1:25" ht="16.5" customHeight="1">
      <c r="A4" s="18"/>
      <c r="B4" s="18"/>
      <c r="C4" s="19"/>
      <c r="D4" s="19"/>
      <c r="E4" s="19"/>
      <c r="F4" s="19"/>
      <c r="G4" s="19"/>
      <c r="H4" s="19"/>
      <c r="I4" s="19"/>
      <c r="J4" s="19"/>
      <c r="K4" s="750" t="s">
        <v>276</v>
      </c>
      <c r="L4" s="750"/>
      <c r="M4" s="758"/>
      <c r="N4" s="758"/>
      <c r="O4" s="182"/>
      <c r="R4" s="19"/>
      <c r="S4" s="19"/>
      <c r="T4" s="21"/>
      <c r="U4" s="757"/>
      <c r="V4" s="757"/>
      <c r="W4" s="750"/>
      <c r="X4" s="750"/>
      <c r="Y4" s="750"/>
    </row>
    <row r="5" spans="1:27" s="20" customFormat="1" ht="18.75" customHeight="1">
      <c r="A5" s="751" t="s">
        <v>61</v>
      </c>
      <c r="B5" s="751" t="s">
        <v>321</v>
      </c>
      <c r="C5" s="764" t="s">
        <v>6</v>
      </c>
      <c r="D5" s="764"/>
      <c r="E5" s="764"/>
      <c r="F5" s="754" t="s">
        <v>60</v>
      </c>
      <c r="G5" s="755"/>
      <c r="H5" s="755"/>
      <c r="I5" s="755"/>
      <c r="J5" s="755"/>
      <c r="K5" s="755"/>
      <c r="L5" s="755"/>
      <c r="M5" s="755" t="s">
        <v>60</v>
      </c>
      <c r="N5" s="755"/>
      <c r="O5" s="755"/>
      <c r="P5" s="755"/>
      <c r="Q5" s="755"/>
      <c r="R5" s="755"/>
      <c r="S5" s="755"/>
      <c r="T5" s="755"/>
      <c r="U5" s="755"/>
      <c r="V5" s="759"/>
      <c r="W5" s="751" t="s">
        <v>87</v>
      </c>
      <c r="X5" s="751"/>
      <c r="Y5" s="751"/>
      <c r="AA5" s="20" t="s">
        <v>572</v>
      </c>
    </row>
    <row r="6" spans="1:25" s="20" customFormat="1" ht="18.75" customHeight="1">
      <c r="A6" s="751"/>
      <c r="B6" s="751"/>
      <c r="C6" s="751" t="s">
        <v>78</v>
      </c>
      <c r="D6" s="751" t="s">
        <v>31</v>
      </c>
      <c r="E6" s="751"/>
      <c r="F6" s="751" t="s">
        <v>78</v>
      </c>
      <c r="G6" s="751" t="s">
        <v>31</v>
      </c>
      <c r="H6" s="751"/>
      <c r="I6" s="752" t="s">
        <v>376</v>
      </c>
      <c r="J6" s="753"/>
      <c r="K6" s="753"/>
      <c r="L6" s="753"/>
      <c r="M6" s="753" t="s">
        <v>189</v>
      </c>
      <c r="N6" s="753"/>
      <c r="O6" s="753"/>
      <c r="P6" s="749" t="s">
        <v>377</v>
      </c>
      <c r="Q6" s="749"/>
      <c r="R6" s="749"/>
      <c r="S6" s="749"/>
      <c r="T6" s="749"/>
      <c r="U6" s="749"/>
      <c r="V6" s="749"/>
      <c r="W6" s="751" t="s">
        <v>78</v>
      </c>
      <c r="X6" s="751" t="s">
        <v>31</v>
      </c>
      <c r="Y6" s="751"/>
    </row>
    <row r="7" spans="1:25" s="20" customFormat="1" ht="18.75" customHeight="1">
      <c r="A7" s="751"/>
      <c r="B7" s="751"/>
      <c r="C7" s="751"/>
      <c r="D7" s="751" t="s">
        <v>120</v>
      </c>
      <c r="E7" s="751" t="s">
        <v>128</v>
      </c>
      <c r="F7" s="751"/>
      <c r="G7" s="751" t="s">
        <v>120</v>
      </c>
      <c r="H7" s="751" t="s">
        <v>128</v>
      </c>
      <c r="I7" s="751" t="s">
        <v>78</v>
      </c>
      <c r="J7" s="749" t="s">
        <v>24</v>
      </c>
      <c r="K7" s="749"/>
      <c r="L7" s="749"/>
      <c r="M7" s="749" t="s">
        <v>128</v>
      </c>
      <c r="N7" s="749"/>
      <c r="O7" s="749"/>
      <c r="P7" s="760" t="s">
        <v>78</v>
      </c>
      <c r="Q7" s="749" t="s">
        <v>24</v>
      </c>
      <c r="R7" s="749"/>
      <c r="S7" s="749"/>
      <c r="T7" s="749" t="s">
        <v>128</v>
      </c>
      <c r="U7" s="749"/>
      <c r="V7" s="749"/>
      <c r="W7" s="751"/>
      <c r="X7" s="751" t="s">
        <v>24</v>
      </c>
      <c r="Y7" s="751" t="s">
        <v>27</v>
      </c>
    </row>
    <row r="8" spans="1:25" s="20" customFormat="1" ht="18.75" customHeight="1">
      <c r="A8" s="751"/>
      <c r="B8" s="751"/>
      <c r="C8" s="751"/>
      <c r="D8" s="751"/>
      <c r="E8" s="751"/>
      <c r="F8" s="751"/>
      <c r="G8" s="751"/>
      <c r="H8" s="751"/>
      <c r="I8" s="751"/>
      <c r="J8" s="751" t="s">
        <v>78</v>
      </c>
      <c r="K8" s="751" t="s">
        <v>53</v>
      </c>
      <c r="L8" s="751"/>
      <c r="M8" s="751" t="s">
        <v>78</v>
      </c>
      <c r="N8" s="747" t="s">
        <v>53</v>
      </c>
      <c r="O8" s="748"/>
      <c r="P8" s="761"/>
      <c r="Q8" s="751" t="s">
        <v>78</v>
      </c>
      <c r="R8" s="747" t="s">
        <v>53</v>
      </c>
      <c r="S8" s="748"/>
      <c r="T8" s="751" t="s">
        <v>78</v>
      </c>
      <c r="U8" s="747" t="s">
        <v>53</v>
      </c>
      <c r="V8" s="748"/>
      <c r="W8" s="751"/>
      <c r="X8" s="751"/>
      <c r="Y8" s="751"/>
    </row>
    <row r="9" spans="1:27" s="20" customFormat="1" ht="18.75" customHeight="1">
      <c r="A9" s="751"/>
      <c r="B9" s="751"/>
      <c r="C9" s="751"/>
      <c r="D9" s="751"/>
      <c r="E9" s="751"/>
      <c r="F9" s="751"/>
      <c r="G9" s="751"/>
      <c r="H9" s="751"/>
      <c r="I9" s="751"/>
      <c r="J9" s="751"/>
      <c r="K9" s="181" t="s">
        <v>71</v>
      </c>
      <c r="L9" s="181" t="s">
        <v>25</v>
      </c>
      <c r="M9" s="751"/>
      <c r="N9" s="181" t="s">
        <v>71</v>
      </c>
      <c r="O9" s="181" t="s">
        <v>25</v>
      </c>
      <c r="P9" s="762"/>
      <c r="Q9" s="751"/>
      <c r="R9" s="181" t="s">
        <v>71</v>
      </c>
      <c r="S9" s="181" t="s">
        <v>25</v>
      </c>
      <c r="T9" s="751"/>
      <c r="U9" s="181" t="s">
        <v>71</v>
      </c>
      <c r="V9" s="181" t="s">
        <v>25</v>
      </c>
      <c r="W9" s="751"/>
      <c r="X9" s="751"/>
      <c r="Y9" s="751"/>
      <c r="AA9" s="403" t="s">
        <v>620</v>
      </c>
    </row>
    <row r="10" spans="1:27" s="31" customFormat="1" ht="15.75" customHeight="1">
      <c r="A10" s="180" t="s">
        <v>9</v>
      </c>
      <c r="B10" s="180" t="s">
        <v>10</v>
      </c>
      <c r="C10" s="180">
        <v>1</v>
      </c>
      <c r="D10" s="180">
        <f aca="true" t="shared" si="0" ref="D10:V10">C10+1</f>
        <v>2</v>
      </c>
      <c r="E10" s="180">
        <f t="shared" si="0"/>
        <v>3</v>
      </c>
      <c r="F10" s="180">
        <f t="shared" si="0"/>
        <v>4</v>
      </c>
      <c r="G10" s="180">
        <f t="shared" si="0"/>
        <v>5</v>
      </c>
      <c r="H10" s="180">
        <f t="shared" si="0"/>
        <v>6</v>
      </c>
      <c r="I10" s="180">
        <f t="shared" si="0"/>
        <v>7</v>
      </c>
      <c r="J10" s="180">
        <f t="shared" si="0"/>
        <v>8</v>
      </c>
      <c r="K10" s="180">
        <f t="shared" si="0"/>
        <v>9</v>
      </c>
      <c r="L10" s="180">
        <f t="shared" si="0"/>
        <v>10</v>
      </c>
      <c r="M10" s="180">
        <f t="shared" si="0"/>
        <v>11</v>
      </c>
      <c r="N10" s="180">
        <f t="shared" si="0"/>
        <v>12</v>
      </c>
      <c r="O10" s="180">
        <f t="shared" si="0"/>
        <v>13</v>
      </c>
      <c r="P10" s="180">
        <f>O10+1</f>
        <v>14</v>
      </c>
      <c r="Q10" s="180">
        <f t="shared" si="0"/>
        <v>15</v>
      </c>
      <c r="R10" s="180">
        <f t="shared" si="0"/>
        <v>16</v>
      </c>
      <c r="S10" s="180">
        <f t="shared" si="0"/>
        <v>17</v>
      </c>
      <c r="T10" s="180">
        <f>S10+1</f>
        <v>18</v>
      </c>
      <c r="U10" s="180">
        <f t="shared" si="0"/>
        <v>19</v>
      </c>
      <c r="V10" s="180">
        <f t="shared" si="0"/>
        <v>20</v>
      </c>
      <c r="W10" s="180" t="s">
        <v>429</v>
      </c>
      <c r="X10" s="180" t="s">
        <v>430</v>
      </c>
      <c r="Y10" s="180" t="s">
        <v>431</v>
      </c>
      <c r="AA10" s="404"/>
    </row>
    <row r="11" spans="1:29" s="149" customFormat="1" ht="18" customHeight="1">
      <c r="A11" s="145"/>
      <c r="B11" s="146" t="s">
        <v>29</v>
      </c>
      <c r="C11" s="147">
        <f aca="true" t="shared" si="1" ref="C11:V11">C12+C19</f>
        <v>73223000000</v>
      </c>
      <c r="D11" s="147">
        <f t="shared" si="1"/>
        <v>57551000000</v>
      </c>
      <c r="E11" s="147">
        <f t="shared" si="1"/>
        <v>15672000000</v>
      </c>
      <c r="F11" s="147">
        <f t="shared" si="1"/>
        <v>79288479531</v>
      </c>
      <c r="G11" s="147">
        <f t="shared" si="1"/>
        <v>63617034500</v>
      </c>
      <c r="H11" s="147">
        <f t="shared" si="1"/>
        <v>15671445031</v>
      </c>
      <c r="I11" s="147">
        <f t="shared" si="1"/>
        <v>37170964500</v>
      </c>
      <c r="J11" s="147">
        <f t="shared" si="1"/>
        <v>30355721500</v>
      </c>
      <c r="K11" s="147">
        <f t="shared" si="1"/>
        <v>30355721500</v>
      </c>
      <c r="L11" s="147">
        <f t="shared" si="1"/>
        <v>0</v>
      </c>
      <c r="M11" s="147">
        <f t="shared" si="1"/>
        <v>6815243000</v>
      </c>
      <c r="N11" s="147">
        <f t="shared" si="1"/>
        <v>6815243000</v>
      </c>
      <c r="O11" s="147">
        <f t="shared" si="1"/>
        <v>0</v>
      </c>
      <c r="P11" s="147">
        <f t="shared" si="1"/>
        <v>42117515031</v>
      </c>
      <c r="Q11" s="147">
        <f t="shared" si="1"/>
        <v>33261313000</v>
      </c>
      <c r="R11" s="147">
        <f t="shared" si="1"/>
        <v>33261313000</v>
      </c>
      <c r="S11" s="147">
        <f t="shared" si="1"/>
        <v>0</v>
      </c>
      <c r="T11" s="147">
        <f t="shared" si="1"/>
        <v>8856202031</v>
      </c>
      <c r="U11" s="147">
        <f t="shared" si="1"/>
        <v>8856202031</v>
      </c>
      <c r="V11" s="147">
        <f t="shared" si="1"/>
        <v>0</v>
      </c>
      <c r="W11" s="232">
        <f aca="true" t="shared" si="2" ref="W11:Y16">F11/C11</f>
        <v>1.082835714611529</v>
      </c>
      <c r="X11" s="232">
        <f t="shared" si="2"/>
        <v>1.1054027645045263</v>
      </c>
      <c r="Y11" s="232">
        <f t="shared" si="2"/>
        <v>0.9999645885017866</v>
      </c>
      <c r="AA11" s="403">
        <f>F11-'Biểu 53-H+X'!F28</f>
        <v>0</v>
      </c>
      <c r="AB11" s="403"/>
      <c r="AC11" s="403"/>
    </row>
    <row r="12" spans="1:28" s="149" customFormat="1" ht="18" customHeight="1">
      <c r="A12" s="302" t="s">
        <v>18</v>
      </c>
      <c r="B12" s="303" t="s">
        <v>322</v>
      </c>
      <c r="C12" s="148">
        <f aca="true" t="shared" si="3" ref="C12:V12">SUM(C13:C18)</f>
        <v>59417200000</v>
      </c>
      <c r="D12" s="148">
        <f t="shared" si="3"/>
        <v>56988200000</v>
      </c>
      <c r="E12" s="148">
        <f t="shared" si="3"/>
        <v>2429000000</v>
      </c>
      <c r="F12" s="148">
        <f t="shared" si="3"/>
        <v>59717101100</v>
      </c>
      <c r="G12" s="148">
        <f t="shared" si="3"/>
        <v>57272833500</v>
      </c>
      <c r="H12" s="148">
        <f t="shared" si="3"/>
        <v>2444267600</v>
      </c>
      <c r="I12" s="148">
        <f t="shared" si="3"/>
        <v>25964723500</v>
      </c>
      <c r="J12" s="148">
        <f t="shared" si="3"/>
        <v>24631760500</v>
      </c>
      <c r="K12" s="148">
        <f t="shared" si="3"/>
        <v>24631760500</v>
      </c>
      <c r="L12" s="148">
        <f t="shared" si="3"/>
        <v>0</v>
      </c>
      <c r="M12" s="148">
        <f t="shared" si="3"/>
        <v>1332963000</v>
      </c>
      <c r="N12" s="148">
        <f t="shared" si="3"/>
        <v>1332963000</v>
      </c>
      <c r="O12" s="148">
        <f t="shared" si="3"/>
        <v>0</v>
      </c>
      <c r="P12" s="148">
        <f t="shared" si="3"/>
        <v>33752377600</v>
      </c>
      <c r="Q12" s="148">
        <f t="shared" si="3"/>
        <v>32641073000</v>
      </c>
      <c r="R12" s="148">
        <f t="shared" si="3"/>
        <v>32641073000</v>
      </c>
      <c r="S12" s="148">
        <f t="shared" si="3"/>
        <v>0</v>
      </c>
      <c r="T12" s="148">
        <f t="shared" si="3"/>
        <v>1111304600</v>
      </c>
      <c r="U12" s="148">
        <f t="shared" si="3"/>
        <v>1111304600</v>
      </c>
      <c r="V12" s="148">
        <f t="shared" si="3"/>
        <v>0</v>
      </c>
      <c r="W12" s="232">
        <f t="shared" si="2"/>
        <v>1.0050473785368546</v>
      </c>
      <c r="X12" s="232">
        <f t="shared" si="2"/>
        <v>1.0049946041461215</v>
      </c>
      <c r="Y12" s="232">
        <f t="shared" si="2"/>
        <v>1.0062855496088925</v>
      </c>
      <c r="AA12" s="403">
        <f>F12-'Biểu 53-H+X'!G28</f>
        <v>0</v>
      </c>
      <c r="AB12" s="403"/>
    </row>
    <row r="13" spans="1:25" s="151" customFormat="1" ht="18" customHeight="1">
      <c r="A13" s="134">
        <v>1</v>
      </c>
      <c r="B13" s="103" t="s">
        <v>254</v>
      </c>
      <c r="C13" s="150">
        <f aca="true" t="shared" si="4" ref="C13:C18">SUM(D13:E13)</f>
        <v>89000000</v>
      </c>
      <c r="D13" s="150"/>
      <c r="E13" s="150">
        <v>89000000</v>
      </c>
      <c r="F13" s="150">
        <f aca="true" t="shared" si="5" ref="F13:F18">G13+H13</f>
        <v>89000000</v>
      </c>
      <c r="G13" s="150">
        <f aca="true" t="shared" si="6" ref="G13:G18">J13+Q13</f>
        <v>0</v>
      </c>
      <c r="H13" s="150">
        <f aca="true" t="shared" si="7" ref="H13:H18">M13+T13</f>
        <v>89000000</v>
      </c>
      <c r="I13" s="150">
        <f aca="true" t="shared" si="8" ref="I13:I18">J13+M13</f>
        <v>0</v>
      </c>
      <c r="J13" s="150">
        <f aca="true" t="shared" si="9" ref="J13:J18">K13</f>
        <v>0</v>
      </c>
      <c r="K13" s="150"/>
      <c r="L13" s="150"/>
      <c r="M13" s="150">
        <f aca="true" t="shared" si="10" ref="M13:M18">N13</f>
        <v>0</v>
      </c>
      <c r="N13" s="150"/>
      <c r="O13" s="150"/>
      <c r="P13" s="150">
        <f aca="true" t="shared" si="11" ref="P13:P18">Q13+T13</f>
        <v>89000000</v>
      </c>
      <c r="Q13" s="150">
        <f aca="true" t="shared" si="12" ref="Q13:Q18">R13</f>
        <v>0</v>
      </c>
      <c r="R13" s="150"/>
      <c r="S13" s="150"/>
      <c r="T13" s="150">
        <f aca="true" t="shared" si="13" ref="T13:T18">U13</f>
        <v>89000000</v>
      </c>
      <c r="U13" s="150">
        <v>89000000</v>
      </c>
      <c r="V13" s="150"/>
      <c r="W13" s="233">
        <f>F13/C13</f>
        <v>1</v>
      </c>
      <c r="X13" s="233"/>
      <c r="Y13" s="233">
        <f t="shared" si="2"/>
        <v>1</v>
      </c>
    </row>
    <row r="14" spans="1:25" s="151" customFormat="1" ht="18" customHeight="1">
      <c r="A14" s="134">
        <v>2</v>
      </c>
      <c r="B14" s="103" t="s">
        <v>261</v>
      </c>
      <c r="C14" s="150">
        <f t="shared" si="4"/>
        <v>1146000000</v>
      </c>
      <c r="D14" s="150"/>
      <c r="E14" s="150">
        <f>1051000000+95000000</f>
        <v>1146000000</v>
      </c>
      <c r="F14" s="150">
        <f t="shared" si="5"/>
        <v>1117304600</v>
      </c>
      <c r="G14" s="150">
        <f t="shared" si="6"/>
        <v>0</v>
      </c>
      <c r="H14" s="150">
        <f t="shared" si="7"/>
        <v>1117304600</v>
      </c>
      <c r="I14" s="150">
        <f t="shared" si="8"/>
        <v>95000000</v>
      </c>
      <c r="J14" s="150">
        <f t="shared" si="9"/>
        <v>0</v>
      </c>
      <c r="K14" s="150"/>
      <c r="L14" s="150"/>
      <c r="M14" s="150">
        <f t="shared" si="10"/>
        <v>95000000</v>
      </c>
      <c r="N14" s="150">
        <v>95000000</v>
      </c>
      <c r="O14" s="150"/>
      <c r="P14" s="150">
        <f t="shared" si="11"/>
        <v>1022304600</v>
      </c>
      <c r="Q14" s="150">
        <f t="shared" si="12"/>
        <v>0</v>
      </c>
      <c r="R14" s="150"/>
      <c r="S14" s="150"/>
      <c r="T14" s="150">
        <f t="shared" si="13"/>
        <v>1022304600</v>
      </c>
      <c r="U14" s="150">
        <f>1117304600-95000000</f>
        <v>1022304600</v>
      </c>
      <c r="V14" s="150"/>
      <c r="W14" s="233">
        <f>F14/C14</f>
        <v>0.9749603839441536</v>
      </c>
      <c r="X14" s="233"/>
      <c r="Y14" s="233">
        <f t="shared" si="2"/>
        <v>0.9749603839441536</v>
      </c>
    </row>
    <row r="15" spans="1:25" s="151" customFormat="1" ht="18" customHeight="1">
      <c r="A15" s="134">
        <v>3</v>
      </c>
      <c r="B15" s="103" t="s">
        <v>262</v>
      </c>
      <c r="C15" s="150">
        <f t="shared" si="4"/>
        <v>0</v>
      </c>
      <c r="D15" s="150"/>
      <c r="E15" s="150"/>
      <c r="F15" s="150">
        <f t="shared" si="5"/>
        <v>5651000</v>
      </c>
      <c r="G15" s="150">
        <f t="shared" si="6"/>
        <v>5651000</v>
      </c>
      <c r="H15" s="150">
        <f t="shared" si="7"/>
        <v>0</v>
      </c>
      <c r="I15" s="150">
        <f t="shared" si="8"/>
        <v>5651000</v>
      </c>
      <c r="J15" s="150">
        <f t="shared" si="9"/>
        <v>5651000</v>
      </c>
      <c r="K15" s="150">
        <v>5651000</v>
      </c>
      <c r="L15" s="150"/>
      <c r="M15" s="150">
        <f t="shared" si="10"/>
        <v>0</v>
      </c>
      <c r="N15" s="150"/>
      <c r="O15" s="150"/>
      <c r="P15" s="150">
        <f t="shared" si="11"/>
        <v>0</v>
      </c>
      <c r="Q15" s="150">
        <f t="shared" si="12"/>
        <v>0</v>
      </c>
      <c r="R15" s="150"/>
      <c r="S15" s="150"/>
      <c r="T15" s="150">
        <f t="shared" si="13"/>
        <v>0</v>
      </c>
      <c r="U15" s="150"/>
      <c r="V15" s="150"/>
      <c r="W15" s="233"/>
      <c r="X15" s="233"/>
      <c r="Y15" s="233"/>
    </row>
    <row r="16" spans="1:25" s="151" customFormat="1" ht="18" customHeight="1">
      <c r="A16" s="134">
        <v>4</v>
      </c>
      <c r="B16" s="103" t="s">
        <v>269</v>
      </c>
      <c r="C16" s="150">
        <f t="shared" si="4"/>
        <v>76000000</v>
      </c>
      <c r="D16" s="150"/>
      <c r="E16" s="150">
        <v>76000000</v>
      </c>
      <c r="F16" s="150">
        <f t="shared" si="5"/>
        <v>76000000</v>
      </c>
      <c r="G16" s="150">
        <f t="shared" si="6"/>
        <v>0</v>
      </c>
      <c r="H16" s="150">
        <f t="shared" si="7"/>
        <v>76000000</v>
      </c>
      <c r="I16" s="150">
        <f t="shared" si="8"/>
        <v>76000000</v>
      </c>
      <c r="J16" s="150">
        <f t="shared" si="9"/>
        <v>0</v>
      </c>
      <c r="K16" s="150"/>
      <c r="L16" s="150"/>
      <c r="M16" s="150">
        <f t="shared" si="10"/>
        <v>76000000</v>
      </c>
      <c r="N16" s="150">
        <v>76000000</v>
      </c>
      <c r="O16" s="150"/>
      <c r="P16" s="150">
        <f t="shared" si="11"/>
        <v>0</v>
      </c>
      <c r="Q16" s="150">
        <f t="shared" si="12"/>
        <v>0</v>
      </c>
      <c r="R16" s="150"/>
      <c r="S16" s="150"/>
      <c r="T16" s="150">
        <f t="shared" si="13"/>
        <v>0</v>
      </c>
      <c r="U16" s="150"/>
      <c r="V16" s="150"/>
      <c r="W16" s="233">
        <f>F16/C16</f>
        <v>1</v>
      </c>
      <c r="X16" s="233"/>
      <c r="Y16" s="233">
        <f t="shared" si="2"/>
        <v>1</v>
      </c>
    </row>
    <row r="17" spans="1:25" s="151" customFormat="1" ht="18" customHeight="1">
      <c r="A17" s="134">
        <v>5</v>
      </c>
      <c r="B17" s="103" t="s">
        <v>272</v>
      </c>
      <c r="C17" s="150">
        <f t="shared" si="4"/>
        <v>46852200000</v>
      </c>
      <c r="D17" s="150">
        <f>16797000000+5200000000+23737200000</f>
        <v>45734200000</v>
      </c>
      <c r="E17" s="150">
        <v>1118000000</v>
      </c>
      <c r="F17" s="150">
        <f t="shared" si="5"/>
        <v>58429145500</v>
      </c>
      <c r="G17" s="150">
        <f t="shared" si="6"/>
        <v>57267182500</v>
      </c>
      <c r="H17" s="150">
        <f t="shared" si="7"/>
        <v>1161963000</v>
      </c>
      <c r="I17" s="150">
        <f t="shared" si="8"/>
        <v>25788072500</v>
      </c>
      <c r="J17" s="150">
        <f t="shared" si="9"/>
        <v>24626109500</v>
      </c>
      <c r="K17" s="150">
        <f>24631760500-5651000</f>
        <v>24626109500</v>
      </c>
      <c r="L17" s="150"/>
      <c r="M17" s="150">
        <f t="shared" si="10"/>
        <v>1161963000</v>
      </c>
      <c r="N17" s="150">
        <v>1161963000</v>
      </c>
      <c r="O17" s="150"/>
      <c r="P17" s="150">
        <f t="shared" si="11"/>
        <v>32641073000</v>
      </c>
      <c r="Q17" s="150">
        <f t="shared" si="12"/>
        <v>32641073000</v>
      </c>
      <c r="R17" s="150">
        <v>32641073000</v>
      </c>
      <c r="S17" s="150"/>
      <c r="T17" s="150">
        <f t="shared" si="13"/>
        <v>0</v>
      </c>
      <c r="U17" s="150"/>
      <c r="V17" s="150"/>
      <c r="W17" s="233">
        <f>F17/C17</f>
        <v>1.2470950243531786</v>
      </c>
      <c r="X17" s="233">
        <f>G17/D17</f>
        <v>1.252174138828273</v>
      </c>
      <c r="Y17" s="233">
        <f>H17/E17</f>
        <v>1.0393228980322005</v>
      </c>
    </row>
    <row r="18" spans="1:25" s="151" customFormat="1" ht="18" customHeight="1">
      <c r="A18" s="134">
        <v>6</v>
      </c>
      <c r="B18" s="103" t="s">
        <v>569</v>
      </c>
      <c r="C18" s="150">
        <f t="shared" si="4"/>
        <v>11254000000</v>
      </c>
      <c r="D18" s="150">
        <v>11254000000</v>
      </c>
      <c r="E18" s="150"/>
      <c r="F18" s="150">
        <f t="shared" si="5"/>
        <v>0</v>
      </c>
      <c r="G18" s="150">
        <f t="shared" si="6"/>
        <v>0</v>
      </c>
      <c r="H18" s="150">
        <f t="shared" si="7"/>
        <v>0</v>
      </c>
      <c r="I18" s="150">
        <f t="shared" si="8"/>
        <v>0</v>
      </c>
      <c r="J18" s="150">
        <f t="shared" si="9"/>
        <v>0</v>
      </c>
      <c r="K18" s="150"/>
      <c r="L18" s="150"/>
      <c r="M18" s="150">
        <f t="shared" si="10"/>
        <v>0</v>
      </c>
      <c r="N18" s="150"/>
      <c r="O18" s="150"/>
      <c r="P18" s="150">
        <f t="shared" si="11"/>
        <v>0</v>
      </c>
      <c r="Q18" s="150">
        <f t="shared" si="12"/>
        <v>0</v>
      </c>
      <c r="R18" s="150"/>
      <c r="S18" s="150"/>
      <c r="T18" s="150">
        <f t="shared" si="13"/>
        <v>0</v>
      </c>
      <c r="U18" s="150"/>
      <c r="V18" s="150"/>
      <c r="W18" s="233"/>
      <c r="X18" s="233"/>
      <c r="Y18" s="233"/>
    </row>
    <row r="19" spans="1:27" s="149" customFormat="1" ht="18" customHeight="1">
      <c r="A19" s="302" t="s">
        <v>19</v>
      </c>
      <c r="B19" s="303" t="s">
        <v>139</v>
      </c>
      <c r="C19" s="148">
        <f>SUM(C20:C38)</f>
        <v>13805800000</v>
      </c>
      <c r="D19" s="148">
        <f>SUM(D20:D38)</f>
        <v>562800000</v>
      </c>
      <c r="E19" s="148">
        <f>SUM(E20:E38)</f>
        <v>13243000000</v>
      </c>
      <c r="F19" s="148">
        <f>SUM(F20:F38)</f>
        <v>19571378431</v>
      </c>
      <c r="G19" s="148">
        <f aca="true" t="shared" si="14" ref="G19:V19">SUM(G20:G38)</f>
        <v>6344201000</v>
      </c>
      <c r="H19" s="148">
        <f t="shared" si="14"/>
        <v>13227177431</v>
      </c>
      <c r="I19" s="148">
        <f t="shared" si="14"/>
        <v>11206241000</v>
      </c>
      <c r="J19" s="148">
        <f t="shared" si="14"/>
        <v>5723961000</v>
      </c>
      <c r="K19" s="148">
        <f t="shared" si="14"/>
        <v>5723961000</v>
      </c>
      <c r="L19" s="148">
        <f t="shared" si="14"/>
        <v>0</v>
      </c>
      <c r="M19" s="148">
        <f t="shared" si="14"/>
        <v>5482280000</v>
      </c>
      <c r="N19" s="148">
        <f t="shared" si="14"/>
        <v>5482280000</v>
      </c>
      <c r="O19" s="148">
        <f t="shared" si="14"/>
        <v>0</v>
      </c>
      <c r="P19" s="148">
        <f t="shared" si="14"/>
        <v>8365137431</v>
      </c>
      <c r="Q19" s="148">
        <f t="shared" si="14"/>
        <v>620240000</v>
      </c>
      <c r="R19" s="148">
        <f t="shared" si="14"/>
        <v>620240000</v>
      </c>
      <c r="S19" s="148">
        <f t="shared" si="14"/>
        <v>0</v>
      </c>
      <c r="T19" s="148">
        <f t="shared" si="14"/>
        <v>7744897431</v>
      </c>
      <c r="U19" s="148">
        <f t="shared" si="14"/>
        <v>7744897431</v>
      </c>
      <c r="V19" s="148">
        <f t="shared" si="14"/>
        <v>0</v>
      </c>
      <c r="W19" s="232">
        <f aca="true" t="shared" si="15" ref="W19:W38">F19/C19</f>
        <v>1.4176200170218314</v>
      </c>
      <c r="X19" s="232">
        <f>G19/D19</f>
        <v>11.272567519545131</v>
      </c>
      <c r="Y19" s="232">
        <f aca="true" t="shared" si="16" ref="Y19:Y36">H19/E19</f>
        <v>0.9988052126406404</v>
      </c>
      <c r="AA19" s="403">
        <f>F19-'Biểu 53-H+X'!H28</f>
        <v>0</v>
      </c>
    </row>
    <row r="20" spans="1:25" s="151" customFormat="1" ht="18" customHeight="1">
      <c r="A20" s="134" t="s">
        <v>378</v>
      </c>
      <c r="B20" s="103" t="s">
        <v>379</v>
      </c>
      <c r="C20" s="150">
        <f aca="true" t="shared" si="17" ref="C20:C38">SUM(D20:E20)</f>
        <v>912450000</v>
      </c>
      <c r="D20" s="150"/>
      <c r="E20" s="150">
        <v>912450000</v>
      </c>
      <c r="F20" s="150">
        <f>G20+H20</f>
        <v>949012500</v>
      </c>
      <c r="G20" s="150">
        <f aca="true" t="shared" si="18" ref="G20:G38">J20+Q20</f>
        <v>0</v>
      </c>
      <c r="H20" s="150">
        <f aca="true" t="shared" si="19" ref="H20:H38">M20+T20</f>
        <v>949012500</v>
      </c>
      <c r="I20" s="150">
        <f>J20+M20</f>
        <v>549000000</v>
      </c>
      <c r="J20" s="150">
        <f aca="true" t="shared" si="20" ref="J20:J38">K20</f>
        <v>0</v>
      </c>
      <c r="K20" s="150">
        <v>0</v>
      </c>
      <c r="L20" s="150"/>
      <c r="M20" s="150">
        <f>N20</f>
        <v>549000000</v>
      </c>
      <c r="N20" s="150">
        <v>549000000</v>
      </c>
      <c r="O20" s="150"/>
      <c r="P20" s="150">
        <f aca="true" t="shared" si="21" ref="P20:P38">Q20+T20</f>
        <v>400012500</v>
      </c>
      <c r="Q20" s="150">
        <f>R20</f>
        <v>0</v>
      </c>
      <c r="R20" s="150"/>
      <c r="S20" s="150"/>
      <c r="T20" s="150">
        <f>U20</f>
        <v>400012500</v>
      </c>
      <c r="U20" s="150">
        <v>400012500</v>
      </c>
      <c r="V20" s="150"/>
      <c r="W20" s="233">
        <f>F20/C20</f>
        <v>1.040070688804866</v>
      </c>
      <c r="X20" s="233"/>
      <c r="Y20" s="233">
        <f t="shared" si="16"/>
        <v>1.040070688804866</v>
      </c>
    </row>
    <row r="21" spans="1:25" s="151" customFormat="1" ht="18" customHeight="1">
      <c r="A21" s="134" t="s">
        <v>380</v>
      </c>
      <c r="B21" s="103" t="s">
        <v>381</v>
      </c>
      <c r="C21" s="150">
        <f t="shared" si="17"/>
        <v>646450000</v>
      </c>
      <c r="D21" s="150"/>
      <c r="E21" s="150">
        <v>646450000</v>
      </c>
      <c r="F21" s="150">
        <f aca="true" t="shared" si="22" ref="F21:F38">G21+H21</f>
        <v>684037000</v>
      </c>
      <c r="G21" s="150">
        <f t="shared" si="18"/>
        <v>37587000</v>
      </c>
      <c r="H21" s="150">
        <f t="shared" si="19"/>
        <v>646450000</v>
      </c>
      <c r="I21" s="150">
        <f aca="true" t="shared" si="23" ref="I21:I38">J21+M21</f>
        <v>283000000</v>
      </c>
      <c r="J21" s="150">
        <f t="shared" si="20"/>
        <v>0</v>
      </c>
      <c r="K21" s="150">
        <v>0</v>
      </c>
      <c r="L21" s="150"/>
      <c r="M21" s="150">
        <f aca="true" t="shared" si="24" ref="M21:M38">N21</f>
        <v>283000000</v>
      </c>
      <c r="N21" s="150">
        <v>283000000</v>
      </c>
      <c r="O21" s="150"/>
      <c r="P21" s="150">
        <f t="shared" si="21"/>
        <v>401037000</v>
      </c>
      <c r="Q21" s="150">
        <f aca="true" t="shared" si="25" ref="Q21:Q38">R21</f>
        <v>37587000</v>
      </c>
      <c r="R21" s="150">
        <v>37587000</v>
      </c>
      <c r="S21" s="150"/>
      <c r="T21" s="150">
        <f aca="true" t="shared" si="26" ref="T21:T38">U21</f>
        <v>363450000</v>
      </c>
      <c r="U21" s="150">
        <v>363450000</v>
      </c>
      <c r="V21" s="150"/>
      <c r="W21" s="233">
        <f t="shared" si="15"/>
        <v>1.058143707943383</v>
      </c>
      <c r="X21" s="233"/>
      <c r="Y21" s="233">
        <f t="shared" si="16"/>
        <v>1</v>
      </c>
    </row>
    <row r="22" spans="1:25" s="151" customFormat="1" ht="18" customHeight="1">
      <c r="A22" s="134" t="s">
        <v>382</v>
      </c>
      <c r="B22" s="103" t="s">
        <v>383</v>
      </c>
      <c r="C22" s="150">
        <f t="shared" si="17"/>
        <v>668450000</v>
      </c>
      <c r="D22" s="150"/>
      <c r="E22" s="150">
        <v>668450000</v>
      </c>
      <c r="F22" s="150">
        <f t="shared" si="22"/>
        <v>668450000</v>
      </c>
      <c r="G22" s="150">
        <f t="shared" si="18"/>
        <v>0</v>
      </c>
      <c r="H22" s="150">
        <f t="shared" si="19"/>
        <v>668450000</v>
      </c>
      <c r="I22" s="150">
        <f t="shared" si="23"/>
        <v>305000000</v>
      </c>
      <c r="J22" s="150">
        <f t="shared" si="20"/>
        <v>0</v>
      </c>
      <c r="K22" s="150">
        <v>0</v>
      </c>
      <c r="L22" s="150"/>
      <c r="M22" s="150">
        <f t="shared" si="24"/>
        <v>305000000</v>
      </c>
      <c r="N22" s="150">
        <v>305000000</v>
      </c>
      <c r="O22" s="150"/>
      <c r="P22" s="150">
        <f t="shared" si="21"/>
        <v>363450000</v>
      </c>
      <c r="Q22" s="150">
        <f t="shared" si="25"/>
        <v>0</v>
      </c>
      <c r="R22" s="150"/>
      <c r="S22" s="150"/>
      <c r="T22" s="150">
        <f t="shared" si="26"/>
        <v>363450000</v>
      </c>
      <c r="U22" s="150">
        <v>363450000</v>
      </c>
      <c r="V22" s="150"/>
      <c r="W22" s="233">
        <f t="shared" si="15"/>
        <v>1</v>
      </c>
      <c r="X22" s="233"/>
      <c r="Y22" s="233">
        <f t="shared" si="16"/>
        <v>1</v>
      </c>
    </row>
    <row r="23" spans="1:25" s="151" customFormat="1" ht="18" customHeight="1">
      <c r="A23" s="134" t="s">
        <v>384</v>
      </c>
      <c r="B23" s="103" t="s">
        <v>385</v>
      </c>
      <c r="C23" s="150">
        <f t="shared" si="17"/>
        <v>1400050000</v>
      </c>
      <c r="D23" s="150">
        <v>487600000</v>
      </c>
      <c r="E23" s="150">
        <v>912450000</v>
      </c>
      <c r="F23" s="150">
        <f t="shared" si="22"/>
        <v>3768870000</v>
      </c>
      <c r="G23" s="150">
        <f t="shared" si="18"/>
        <v>2857600000</v>
      </c>
      <c r="H23" s="150">
        <f t="shared" si="19"/>
        <v>911270000</v>
      </c>
      <c r="I23" s="150">
        <f t="shared" si="23"/>
        <v>2919000000</v>
      </c>
      <c r="J23" s="150">
        <f t="shared" si="20"/>
        <v>2370000000</v>
      </c>
      <c r="K23" s="150">
        <v>2370000000</v>
      </c>
      <c r="L23" s="150"/>
      <c r="M23" s="150">
        <f t="shared" si="24"/>
        <v>549000000</v>
      </c>
      <c r="N23" s="150">
        <v>549000000</v>
      </c>
      <c r="O23" s="150"/>
      <c r="P23" s="150">
        <f t="shared" si="21"/>
        <v>849870000</v>
      </c>
      <c r="Q23" s="150">
        <f t="shared" si="25"/>
        <v>487600000</v>
      </c>
      <c r="R23" s="150">
        <v>487600000</v>
      </c>
      <c r="S23" s="150"/>
      <c r="T23" s="150">
        <f t="shared" si="26"/>
        <v>362270000</v>
      </c>
      <c r="U23" s="150">
        <v>362270000</v>
      </c>
      <c r="V23" s="150"/>
      <c r="W23" s="233">
        <f t="shared" si="15"/>
        <v>2.6919538587907574</v>
      </c>
      <c r="X23" s="233">
        <f>G23/D23</f>
        <v>5.860541427399508</v>
      </c>
      <c r="Y23" s="233">
        <f t="shared" si="16"/>
        <v>0.9987067784536139</v>
      </c>
    </row>
    <row r="24" spans="1:25" s="151" customFormat="1" ht="18" customHeight="1">
      <c r="A24" s="134" t="s">
        <v>386</v>
      </c>
      <c r="B24" s="103" t="s">
        <v>387</v>
      </c>
      <c r="C24" s="150">
        <f t="shared" si="17"/>
        <v>646450000</v>
      </c>
      <c r="D24" s="150"/>
      <c r="E24" s="150">
        <v>646450000</v>
      </c>
      <c r="F24" s="150">
        <f t="shared" si="22"/>
        <v>646450000</v>
      </c>
      <c r="G24" s="150">
        <f t="shared" si="18"/>
        <v>0</v>
      </c>
      <c r="H24" s="150">
        <f t="shared" si="19"/>
        <v>646450000</v>
      </c>
      <c r="I24" s="150">
        <f t="shared" si="23"/>
        <v>283000000</v>
      </c>
      <c r="J24" s="150">
        <f t="shared" si="20"/>
        <v>0</v>
      </c>
      <c r="K24" s="150">
        <v>0</v>
      </c>
      <c r="L24" s="150"/>
      <c r="M24" s="150">
        <f t="shared" si="24"/>
        <v>283000000</v>
      </c>
      <c r="N24" s="150">
        <v>283000000</v>
      </c>
      <c r="O24" s="150"/>
      <c r="P24" s="150">
        <f t="shared" si="21"/>
        <v>363450000</v>
      </c>
      <c r="Q24" s="150">
        <f t="shared" si="25"/>
        <v>0</v>
      </c>
      <c r="R24" s="150"/>
      <c r="S24" s="150"/>
      <c r="T24" s="150">
        <f t="shared" si="26"/>
        <v>363450000</v>
      </c>
      <c r="U24" s="150">
        <v>363450000</v>
      </c>
      <c r="V24" s="150"/>
      <c r="W24" s="233">
        <f t="shared" si="15"/>
        <v>1</v>
      </c>
      <c r="X24" s="233"/>
      <c r="Y24" s="233">
        <f t="shared" si="16"/>
        <v>1</v>
      </c>
    </row>
    <row r="25" spans="1:25" s="151" customFormat="1" ht="18" customHeight="1">
      <c r="A25" s="134">
        <v>6</v>
      </c>
      <c r="B25" s="103" t="s">
        <v>389</v>
      </c>
      <c r="C25" s="150"/>
      <c r="D25" s="150"/>
      <c r="E25" s="150">
        <v>0</v>
      </c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233"/>
      <c r="X25" s="233"/>
      <c r="Y25" s="233"/>
    </row>
    <row r="26" spans="1:25" s="151" customFormat="1" ht="18" customHeight="1">
      <c r="A26" s="134" t="s">
        <v>390</v>
      </c>
      <c r="B26" s="103" t="s">
        <v>391</v>
      </c>
      <c r="C26" s="150">
        <f t="shared" si="17"/>
        <v>756450000</v>
      </c>
      <c r="D26" s="150"/>
      <c r="E26" s="150">
        <v>756450000</v>
      </c>
      <c r="F26" s="150">
        <f t="shared" si="22"/>
        <v>756450000</v>
      </c>
      <c r="G26" s="150">
        <f t="shared" si="18"/>
        <v>0</v>
      </c>
      <c r="H26" s="150">
        <f t="shared" si="19"/>
        <v>756450000</v>
      </c>
      <c r="I26" s="150">
        <f t="shared" si="23"/>
        <v>393000000</v>
      </c>
      <c r="J26" s="150">
        <f t="shared" si="20"/>
        <v>0</v>
      </c>
      <c r="K26" s="150">
        <v>0</v>
      </c>
      <c r="L26" s="150"/>
      <c r="M26" s="150">
        <f t="shared" si="24"/>
        <v>393000000</v>
      </c>
      <c r="N26" s="150">
        <v>393000000</v>
      </c>
      <c r="O26" s="150"/>
      <c r="P26" s="150">
        <f t="shared" si="21"/>
        <v>363450000</v>
      </c>
      <c r="Q26" s="150">
        <f t="shared" si="25"/>
        <v>0</v>
      </c>
      <c r="R26" s="150"/>
      <c r="S26" s="150"/>
      <c r="T26" s="150">
        <f t="shared" si="26"/>
        <v>363450000</v>
      </c>
      <c r="U26" s="150">
        <v>363450000</v>
      </c>
      <c r="V26" s="150"/>
      <c r="W26" s="233">
        <f t="shared" si="15"/>
        <v>1</v>
      </c>
      <c r="X26" s="233"/>
      <c r="Y26" s="233">
        <f t="shared" si="16"/>
        <v>1</v>
      </c>
    </row>
    <row r="27" spans="1:25" s="151" customFormat="1" ht="18" customHeight="1">
      <c r="A27" s="134" t="s">
        <v>392</v>
      </c>
      <c r="B27" s="103" t="s">
        <v>393</v>
      </c>
      <c r="C27" s="150">
        <f t="shared" si="17"/>
        <v>735562500</v>
      </c>
      <c r="D27" s="150"/>
      <c r="E27" s="150">
        <v>735562500</v>
      </c>
      <c r="F27" s="150">
        <f t="shared" si="22"/>
        <v>716000000</v>
      </c>
      <c r="G27" s="150">
        <f t="shared" si="18"/>
        <v>0</v>
      </c>
      <c r="H27" s="150">
        <f t="shared" si="19"/>
        <v>716000000</v>
      </c>
      <c r="I27" s="150">
        <f t="shared" si="23"/>
        <v>283000000</v>
      </c>
      <c r="J27" s="150">
        <f t="shared" si="20"/>
        <v>0</v>
      </c>
      <c r="K27" s="150">
        <v>0</v>
      </c>
      <c r="L27" s="150"/>
      <c r="M27" s="150">
        <f t="shared" si="24"/>
        <v>283000000</v>
      </c>
      <c r="N27" s="150">
        <v>283000000</v>
      </c>
      <c r="O27" s="150"/>
      <c r="P27" s="150">
        <f t="shared" si="21"/>
        <v>433000000</v>
      </c>
      <c r="Q27" s="150">
        <f t="shared" si="25"/>
        <v>0</v>
      </c>
      <c r="R27" s="150"/>
      <c r="S27" s="150"/>
      <c r="T27" s="150">
        <f t="shared" si="26"/>
        <v>433000000</v>
      </c>
      <c r="U27" s="150">
        <v>433000000</v>
      </c>
      <c r="V27" s="150"/>
      <c r="W27" s="233">
        <f t="shared" si="15"/>
        <v>0.9734047072818421</v>
      </c>
      <c r="X27" s="233"/>
      <c r="Y27" s="233">
        <f t="shared" si="16"/>
        <v>0.9734047072818421</v>
      </c>
    </row>
    <row r="28" spans="1:25" s="151" customFormat="1" ht="18" customHeight="1">
      <c r="A28" s="134" t="s">
        <v>394</v>
      </c>
      <c r="B28" s="103" t="s">
        <v>395</v>
      </c>
      <c r="C28" s="150">
        <f t="shared" si="17"/>
        <v>690450000</v>
      </c>
      <c r="D28" s="150"/>
      <c r="E28" s="150">
        <v>690450000</v>
      </c>
      <c r="F28" s="150">
        <f t="shared" si="22"/>
        <v>690450000</v>
      </c>
      <c r="G28" s="150">
        <f t="shared" si="18"/>
        <v>0</v>
      </c>
      <c r="H28" s="150">
        <f t="shared" si="19"/>
        <v>690450000</v>
      </c>
      <c r="I28" s="150">
        <f t="shared" si="23"/>
        <v>327000000</v>
      </c>
      <c r="J28" s="150">
        <f t="shared" si="20"/>
        <v>0</v>
      </c>
      <c r="K28" s="150">
        <v>0</v>
      </c>
      <c r="L28" s="150"/>
      <c r="M28" s="150">
        <f t="shared" si="24"/>
        <v>327000000</v>
      </c>
      <c r="N28" s="150">
        <v>327000000</v>
      </c>
      <c r="O28" s="150"/>
      <c r="P28" s="150">
        <f t="shared" si="21"/>
        <v>363450000</v>
      </c>
      <c r="Q28" s="150">
        <f t="shared" si="25"/>
        <v>0</v>
      </c>
      <c r="R28" s="150"/>
      <c r="S28" s="150"/>
      <c r="T28" s="150">
        <f t="shared" si="26"/>
        <v>363450000</v>
      </c>
      <c r="U28" s="150">
        <v>363450000</v>
      </c>
      <c r="V28" s="150"/>
      <c r="W28" s="233">
        <f t="shared" si="15"/>
        <v>1</v>
      </c>
      <c r="X28" s="233"/>
      <c r="Y28" s="233">
        <f t="shared" si="16"/>
        <v>1</v>
      </c>
    </row>
    <row r="29" spans="1:25" s="151" customFormat="1" ht="18" customHeight="1">
      <c r="A29" s="134" t="s">
        <v>396</v>
      </c>
      <c r="B29" s="103" t="s">
        <v>397</v>
      </c>
      <c r="C29" s="150">
        <f t="shared" si="17"/>
        <v>712562500</v>
      </c>
      <c r="D29" s="150"/>
      <c r="E29" s="150">
        <v>712562500</v>
      </c>
      <c r="F29" s="150">
        <f t="shared" si="22"/>
        <v>712562500</v>
      </c>
      <c r="G29" s="150">
        <f t="shared" si="18"/>
        <v>0</v>
      </c>
      <c r="H29" s="150">
        <f t="shared" si="19"/>
        <v>712562500</v>
      </c>
      <c r="I29" s="150">
        <f t="shared" si="23"/>
        <v>260000000</v>
      </c>
      <c r="J29" s="150">
        <f t="shared" si="20"/>
        <v>0</v>
      </c>
      <c r="K29" s="150">
        <v>0</v>
      </c>
      <c r="L29" s="150"/>
      <c r="M29" s="150">
        <f t="shared" si="24"/>
        <v>260000000</v>
      </c>
      <c r="N29" s="150">
        <v>260000000</v>
      </c>
      <c r="O29" s="150"/>
      <c r="P29" s="150">
        <f t="shared" si="21"/>
        <v>452562500</v>
      </c>
      <c r="Q29" s="150">
        <f t="shared" si="25"/>
        <v>0</v>
      </c>
      <c r="R29" s="150"/>
      <c r="S29" s="150"/>
      <c r="T29" s="150">
        <f t="shared" si="26"/>
        <v>452562500</v>
      </c>
      <c r="U29" s="150">
        <v>452562500</v>
      </c>
      <c r="V29" s="150"/>
      <c r="W29" s="233">
        <f t="shared" si="15"/>
        <v>1</v>
      </c>
      <c r="X29" s="233"/>
      <c r="Y29" s="233">
        <f t="shared" si="16"/>
        <v>1</v>
      </c>
    </row>
    <row r="30" spans="1:25" s="151" customFormat="1" ht="18" customHeight="1">
      <c r="A30" s="134" t="s">
        <v>398</v>
      </c>
      <c r="B30" s="103" t="s">
        <v>399</v>
      </c>
      <c r="C30" s="150">
        <f t="shared" si="17"/>
        <v>668562500</v>
      </c>
      <c r="D30" s="150"/>
      <c r="E30" s="150">
        <v>668562500</v>
      </c>
      <c r="F30" s="150">
        <f t="shared" si="22"/>
        <v>668562500</v>
      </c>
      <c r="G30" s="150">
        <f t="shared" si="18"/>
        <v>0</v>
      </c>
      <c r="H30" s="150">
        <f t="shared" si="19"/>
        <v>668562500</v>
      </c>
      <c r="I30" s="150">
        <f t="shared" si="23"/>
        <v>216000000</v>
      </c>
      <c r="J30" s="150">
        <f t="shared" si="20"/>
        <v>0</v>
      </c>
      <c r="K30" s="150">
        <v>0</v>
      </c>
      <c r="L30" s="150"/>
      <c r="M30" s="150">
        <f t="shared" si="24"/>
        <v>216000000</v>
      </c>
      <c r="N30" s="150">
        <v>216000000</v>
      </c>
      <c r="O30" s="150"/>
      <c r="P30" s="150">
        <f t="shared" si="21"/>
        <v>452562500</v>
      </c>
      <c r="Q30" s="150">
        <f t="shared" si="25"/>
        <v>0</v>
      </c>
      <c r="R30" s="150"/>
      <c r="S30" s="150"/>
      <c r="T30" s="150">
        <f t="shared" si="26"/>
        <v>452562500</v>
      </c>
      <c r="U30" s="150">
        <v>452562500</v>
      </c>
      <c r="V30" s="150"/>
      <c r="W30" s="233">
        <f t="shared" si="15"/>
        <v>1</v>
      </c>
      <c r="X30" s="233"/>
      <c r="Y30" s="233">
        <f t="shared" si="16"/>
        <v>1</v>
      </c>
    </row>
    <row r="31" spans="1:25" s="151" customFormat="1" ht="18" customHeight="1">
      <c r="A31" s="134" t="s">
        <v>400</v>
      </c>
      <c r="B31" s="103" t="s">
        <v>401</v>
      </c>
      <c r="C31" s="150">
        <f t="shared" si="17"/>
        <v>663562500</v>
      </c>
      <c r="D31" s="150"/>
      <c r="E31" s="150">
        <v>663562500</v>
      </c>
      <c r="F31" s="150">
        <f t="shared" si="22"/>
        <v>663562500</v>
      </c>
      <c r="G31" s="150">
        <f t="shared" si="18"/>
        <v>0</v>
      </c>
      <c r="H31" s="150">
        <f t="shared" si="19"/>
        <v>663562500</v>
      </c>
      <c r="I31" s="150">
        <f t="shared" si="23"/>
        <v>211000000</v>
      </c>
      <c r="J31" s="150">
        <f t="shared" si="20"/>
        <v>0</v>
      </c>
      <c r="K31" s="150">
        <v>0</v>
      </c>
      <c r="L31" s="150"/>
      <c r="M31" s="150">
        <f t="shared" si="24"/>
        <v>211000000</v>
      </c>
      <c r="N31" s="150">
        <v>211000000</v>
      </c>
      <c r="O31" s="150"/>
      <c r="P31" s="150">
        <f t="shared" si="21"/>
        <v>452562500</v>
      </c>
      <c r="Q31" s="150">
        <f t="shared" si="25"/>
        <v>0</v>
      </c>
      <c r="R31" s="150"/>
      <c r="S31" s="150"/>
      <c r="T31" s="150">
        <f t="shared" si="26"/>
        <v>452562500</v>
      </c>
      <c r="U31" s="150">
        <v>452562500</v>
      </c>
      <c r="V31" s="150"/>
      <c r="W31" s="233">
        <f t="shared" si="15"/>
        <v>1</v>
      </c>
      <c r="X31" s="233"/>
      <c r="Y31" s="233">
        <f t="shared" si="16"/>
        <v>1</v>
      </c>
    </row>
    <row r="32" spans="1:25" s="151" customFormat="1" ht="18" customHeight="1">
      <c r="A32" s="134" t="s">
        <v>402</v>
      </c>
      <c r="B32" s="103" t="s">
        <v>403</v>
      </c>
      <c r="C32" s="150">
        <f t="shared" si="17"/>
        <v>685562500</v>
      </c>
      <c r="D32" s="150"/>
      <c r="E32" s="150">
        <v>685562500</v>
      </c>
      <c r="F32" s="150">
        <f t="shared" si="22"/>
        <v>672840000</v>
      </c>
      <c r="G32" s="150">
        <f t="shared" si="18"/>
        <v>0</v>
      </c>
      <c r="H32" s="150">
        <f t="shared" si="19"/>
        <v>672840000</v>
      </c>
      <c r="I32" s="150">
        <f t="shared" si="23"/>
        <v>227280000</v>
      </c>
      <c r="J32" s="150">
        <f t="shared" si="20"/>
        <v>0</v>
      </c>
      <c r="K32" s="150">
        <v>0</v>
      </c>
      <c r="L32" s="150"/>
      <c r="M32" s="150">
        <f t="shared" si="24"/>
        <v>227280000</v>
      </c>
      <c r="N32" s="150">
        <v>227280000</v>
      </c>
      <c r="O32" s="150"/>
      <c r="P32" s="150">
        <f t="shared" si="21"/>
        <v>445560000</v>
      </c>
      <c r="Q32" s="150">
        <f t="shared" si="25"/>
        <v>0</v>
      </c>
      <c r="R32" s="150"/>
      <c r="S32" s="150"/>
      <c r="T32" s="150">
        <f t="shared" si="26"/>
        <v>445560000</v>
      </c>
      <c r="U32" s="150">
        <v>445560000</v>
      </c>
      <c r="V32" s="150"/>
      <c r="W32" s="233">
        <f t="shared" si="15"/>
        <v>0.981442246330568</v>
      </c>
      <c r="X32" s="233"/>
      <c r="Y32" s="233">
        <f t="shared" si="16"/>
        <v>0.981442246330568</v>
      </c>
    </row>
    <row r="33" spans="1:25" s="151" customFormat="1" ht="18" customHeight="1">
      <c r="A33" s="134" t="s">
        <v>404</v>
      </c>
      <c r="B33" s="103" t="s">
        <v>405</v>
      </c>
      <c r="C33" s="150">
        <f t="shared" si="17"/>
        <v>508450000</v>
      </c>
      <c r="D33" s="150"/>
      <c r="E33" s="150">
        <v>508450000</v>
      </c>
      <c r="F33" s="150">
        <f t="shared" si="22"/>
        <v>508450000</v>
      </c>
      <c r="G33" s="150">
        <f t="shared" si="18"/>
        <v>0</v>
      </c>
      <c r="H33" s="150">
        <f t="shared" si="19"/>
        <v>508450000</v>
      </c>
      <c r="I33" s="150">
        <f t="shared" si="23"/>
        <v>145000000</v>
      </c>
      <c r="J33" s="150">
        <f t="shared" si="20"/>
        <v>0</v>
      </c>
      <c r="K33" s="150">
        <v>0</v>
      </c>
      <c r="L33" s="150"/>
      <c r="M33" s="150">
        <f t="shared" si="24"/>
        <v>145000000</v>
      </c>
      <c r="N33" s="150">
        <v>145000000</v>
      </c>
      <c r="O33" s="150"/>
      <c r="P33" s="150">
        <f t="shared" si="21"/>
        <v>363450000</v>
      </c>
      <c r="Q33" s="150">
        <f t="shared" si="25"/>
        <v>0</v>
      </c>
      <c r="R33" s="150"/>
      <c r="S33" s="150"/>
      <c r="T33" s="150">
        <f t="shared" si="26"/>
        <v>363450000</v>
      </c>
      <c r="U33" s="150">
        <v>363450000</v>
      </c>
      <c r="V33" s="150"/>
      <c r="W33" s="233">
        <f t="shared" si="15"/>
        <v>1</v>
      </c>
      <c r="X33" s="233"/>
      <c r="Y33" s="233">
        <f t="shared" si="16"/>
        <v>1</v>
      </c>
    </row>
    <row r="34" spans="1:25" s="151" customFormat="1" ht="18" customHeight="1">
      <c r="A34" s="134" t="s">
        <v>406</v>
      </c>
      <c r="B34" s="103" t="s">
        <v>407</v>
      </c>
      <c r="C34" s="150">
        <f t="shared" si="17"/>
        <v>733562500</v>
      </c>
      <c r="D34" s="150"/>
      <c r="E34" s="150">
        <v>733562500</v>
      </c>
      <c r="F34" s="150">
        <f t="shared" si="22"/>
        <v>733562500</v>
      </c>
      <c r="G34" s="150">
        <f>J34+Q34</f>
        <v>0</v>
      </c>
      <c r="H34" s="150">
        <f t="shared" si="19"/>
        <v>733562500</v>
      </c>
      <c r="I34" s="150">
        <f t="shared" si="23"/>
        <v>281000000</v>
      </c>
      <c r="J34" s="150">
        <f t="shared" si="20"/>
        <v>0</v>
      </c>
      <c r="K34" s="150">
        <v>0</v>
      </c>
      <c r="L34" s="150"/>
      <c r="M34" s="150">
        <f t="shared" si="24"/>
        <v>281000000</v>
      </c>
      <c r="N34" s="150">
        <v>281000000</v>
      </c>
      <c r="O34" s="150"/>
      <c r="P34" s="150">
        <f t="shared" si="21"/>
        <v>452562500</v>
      </c>
      <c r="Q34" s="150">
        <f t="shared" si="25"/>
        <v>0</v>
      </c>
      <c r="R34" s="150"/>
      <c r="S34" s="150"/>
      <c r="T34" s="150">
        <f t="shared" si="26"/>
        <v>452562500</v>
      </c>
      <c r="U34" s="150">
        <v>452562500</v>
      </c>
      <c r="V34" s="150"/>
      <c r="W34" s="233">
        <f t="shared" si="15"/>
        <v>1</v>
      </c>
      <c r="X34" s="233"/>
      <c r="Y34" s="233">
        <f t="shared" si="16"/>
        <v>1</v>
      </c>
    </row>
    <row r="35" spans="1:25" s="151" customFormat="1" ht="18" customHeight="1">
      <c r="A35" s="134" t="s">
        <v>408</v>
      </c>
      <c r="B35" s="103" t="s">
        <v>409</v>
      </c>
      <c r="C35" s="150">
        <f t="shared" si="17"/>
        <v>619562500</v>
      </c>
      <c r="D35" s="150"/>
      <c r="E35" s="150">
        <v>619562500</v>
      </c>
      <c r="F35" s="150">
        <f t="shared" si="22"/>
        <v>619562500</v>
      </c>
      <c r="G35" s="150">
        <f t="shared" si="18"/>
        <v>0</v>
      </c>
      <c r="H35" s="150">
        <f t="shared" si="19"/>
        <v>619562500</v>
      </c>
      <c r="I35" s="150">
        <f t="shared" si="23"/>
        <v>167000000</v>
      </c>
      <c r="J35" s="150">
        <f t="shared" si="20"/>
        <v>0</v>
      </c>
      <c r="K35" s="150">
        <v>0</v>
      </c>
      <c r="L35" s="150"/>
      <c r="M35" s="150">
        <f t="shared" si="24"/>
        <v>167000000</v>
      </c>
      <c r="N35" s="150">
        <v>167000000</v>
      </c>
      <c r="O35" s="150"/>
      <c r="P35" s="150">
        <f t="shared" si="21"/>
        <v>452562500</v>
      </c>
      <c r="Q35" s="150">
        <f t="shared" si="25"/>
        <v>0</v>
      </c>
      <c r="R35" s="150"/>
      <c r="S35" s="150"/>
      <c r="T35" s="150">
        <f>U35</f>
        <v>452562500</v>
      </c>
      <c r="U35" s="150">
        <v>452562500</v>
      </c>
      <c r="V35" s="150"/>
      <c r="W35" s="233">
        <f t="shared" si="15"/>
        <v>1</v>
      </c>
      <c r="X35" s="233"/>
      <c r="Y35" s="233">
        <f t="shared" si="16"/>
        <v>1</v>
      </c>
    </row>
    <row r="36" spans="1:25" s="151" customFormat="1" ht="18" customHeight="1">
      <c r="A36" s="134" t="s">
        <v>410</v>
      </c>
      <c r="B36" s="103" t="s">
        <v>411</v>
      </c>
      <c r="C36" s="150">
        <f t="shared" si="17"/>
        <v>698650000</v>
      </c>
      <c r="D36" s="150">
        <v>75200000</v>
      </c>
      <c r="E36" s="150">
        <v>623450000</v>
      </c>
      <c r="F36" s="150">
        <f t="shared" si="22"/>
        <v>633893000</v>
      </c>
      <c r="G36" s="150">
        <f t="shared" si="18"/>
        <v>27443000</v>
      </c>
      <c r="H36" s="150">
        <f t="shared" si="19"/>
        <v>606450000</v>
      </c>
      <c r="I36" s="150">
        <f t="shared" si="23"/>
        <v>260000000</v>
      </c>
      <c r="J36" s="150">
        <f t="shared" si="20"/>
        <v>0</v>
      </c>
      <c r="K36" s="150">
        <v>0</v>
      </c>
      <c r="L36" s="150"/>
      <c r="M36" s="150">
        <f t="shared" si="24"/>
        <v>260000000</v>
      </c>
      <c r="N36" s="150">
        <v>260000000</v>
      </c>
      <c r="O36" s="150"/>
      <c r="P36" s="150">
        <f t="shared" si="21"/>
        <v>373893000</v>
      </c>
      <c r="Q36" s="150">
        <f t="shared" si="25"/>
        <v>27443000</v>
      </c>
      <c r="R36" s="150">
        <v>27443000</v>
      </c>
      <c r="S36" s="150"/>
      <c r="T36" s="150">
        <f t="shared" si="26"/>
        <v>346450000</v>
      </c>
      <c r="U36" s="150">
        <v>346450000</v>
      </c>
      <c r="V36" s="150"/>
      <c r="W36" s="233">
        <f t="shared" si="15"/>
        <v>0.9073112431117154</v>
      </c>
      <c r="X36" s="233">
        <f>G36/D36</f>
        <v>0.3649335106382979</v>
      </c>
      <c r="Y36" s="233">
        <f t="shared" si="16"/>
        <v>0.9727323762932072</v>
      </c>
    </row>
    <row r="37" spans="1:25" s="151" customFormat="1" ht="18" customHeight="1">
      <c r="A37" s="134" t="s">
        <v>412</v>
      </c>
      <c r="B37" s="103" t="s">
        <v>413</v>
      </c>
      <c r="C37" s="150">
        <f t="shared" si="17"/>
        <v>1368450000</v>
      </c>
      <c r="D37" s="150"/>
      <c r="E37" s="150">
        <v>1368450000</v>
      </c>
      <c r="F37" s="150">
        <f t="shared" si="22"/>
        <v>4788100931</v>
      </c>
      <c r="G37" s="150">
        <f t="shared" si="18"/>
        <v>3421571000</v>
      </c>
      <c r="H37" s="150">
        <f t="shared" si="19"/>
        <v>1366529931</v>
      </c>
      <c r="I37" s="150">
        <f t="shared" si="23"/>
        <v>3858961000</v>
      </c>
      <c r="J37" s="150">
        <f t="shared" si="20"/>
        <v>3353961000</v>
      </c>
      <c r="K37" s="150">
        <v>3353961000</v>
      </c>
      <c r="L37" s="150"/>
      <c r="M37" s="150">
        <f t="shared" si="24"/>
        <v>505000000</v>
      </c>
      <c r="N37" s="150">
        <v>505000000</v>
      </c>
      <c r="O37" s="150"/>
      <c r="P37" s="150">
        <f t="shared" si="21"/>
        <v>929139931</v>
      </c>
      <c r="Q37" s="150">
        <f t="shared" si="25"/>
        <v>67610000</v>
      </c>
      <c r="R37" s="150">
        <v>67610000</v>
      </c>
      <c r="S37" s="150"/>
      <c r="T37" s="150">
        <f t="shared" si="26"/>
        <v>861529931</v>
      </c>
      <c r="U37" s="150">
        <v>861529931</v>
      </c>
      <c r="V37" s="150"/>
      <c r="W37" s="233">
        <f t="shared" si="15"/>
        <v>3.4989228185173005</v>
      </c>
      <c r="X37" s="233"/>
      <c r="Y37" s="233">
        <f>H37/E37</f>
        <v>0.9985969023347583</v>
      </c>
    </row>
    <row r="38" spans="1:25" s="151" customFormat="1" ht="18" customHeight="1">
      <c r="A38" s="137" t="s">
        <v>414</v>
      </c>
      <c r="B38" s="113" t="s">
        <v>415</v>
      </c>
      <c r="C38" s="411">
        <f t="shared" si="17"/>
        <v>690562500</v>
      </c>
      <c r="D38" s="411"/>
      <c r="E38" s="411">
        <v>690562500</v>
      </c>
      <c r="F38" s="411">
        <f t="shared" si="22"/>
        <v>690562500</v>
      </c>
      <c r="G38" s="411">
        <f t="shared" si="18"/>
        <v>0</v>
      </c>
      <c r="H38" s="411">
        <f t="shared" si="19"/>
        <v>690562500</v>
      </c>
      <c r="I38" s="411">
        <f t="shared" si="23"/>
        <v>238000000</v>
      </c>
      <c r="J38" s="411">
        <f t="shared" si="20"/>
        <v>0</v>
      </c>
      <c r="K38" s="411">
        <v>0</v>
      </c>
      <c r="L38" s="411"/>
      <c r="M38" s="411">
        <f t="shared" si="24"/>
        <v>238000000</v>
      </c>
      <c r="N38" s="411">
        <v>238000000</v>
      </c>
      <c r="O38" s="411"/>
      <c r="P38" s="411">
        <f t="shared" si="21"/>
        <v>452562500</v>
      </c>
      <c r="Q38" s="411">
        <f t="shared" si="25"/>
        <v>0</v>
      </c>
      <c r="R38" s="411"/>
      <c r="S38" s="411"/>
      <c r="T38" s="411">
        <f t="shared" si="26"/>
        <v>452562500</v>
      </c>
      <c r="U38" s="411">
        <v>452562500</v>
      </c>
      <c r="V38" s="411"/>
      <c r="W38" s="412">
        <f t="shared" si="15"/>
        <v>1</v>
      </c>
      <c r="X38" s="412"/>
      <c r="Y38" s="412">
        <f>H38/E38</f>
        <v>1</v>
      </c>
    </row>
    <row r="39" spans="1:25" s="151" customFormat="1" ht="18" customHeight="1">
      <c r="A39" s="436"/>
      <c r="B39" s="437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9"/>
      <c r="X39" s="439"/>
      <c r="Y39" s="439"/>
    </row>
    <row r="40" spans="1:25" s="151" customFormat="1" ht="18" customHeight="1">
      <c r="A40" s="436"/>
      <c r="B40" s="437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9"/>
      <c r="X40" s="439"/>
      <c r="Y40" s="439"/>
    </row>
    <row r="41" spans="1:25" s="151" customFormat="1" ht="18" customHeight="1">
      <c r="A41" s="436"/>
      <c r="B41" s="437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9"/>
      <c r="X41" s="439"/>
      <c r="Y41" s="439"/>
    </row>
    <row r="42" spans="6:8" ht="15.75">
      <c r="F42" s="304">
        <f>'Biểu 54'!EO12</f>
        <v>60423424460</v>
      </c>
      <c r="G42" s="304">
        <f>'Biểu 54'!EP12</f>
        <v>57397373500</v>
      </c>
      <c r="H42" s="304">
        <f>'Biểu 54'!EQ12</f>
        <v>3026050960</v>
      </c>
    </row>
    <row r="43" spans="6:8" ht="15.75">
      <c r="F43" s="304">
        <f>F42-F12</f>
        <v>706323360</v>
      </c>
      <c r="G43" s="304">
        <f>G42-G12</f>
        <v>124540000</v>
      </c>
      <c r="H43" s="304">
        <f>H42-H12</f>
        <v>581783360</v>
      </c>
    </row>
    <row r="44" ht="15.75">
      <c r="F44" s="16" t="s">
        <v>621</v>
      </c>
    </row>
  </sheetData>
  <sheetProtection/>
  <mergeCells count="42">
    <mergeCell ref="A3:L3"/>
    <mergeCell ref="A2:L2"/>
    <mergeCell ref="A5:A9"/>
    <mergeCell ref="K8:L8"/>
    <mergeCell ref="C5:E5"/>
    <mergeCell ref="I7:I9"/>
    <mergeCell ref="D6:E6"/>
    <mergeCell ref="G7:G9"/>
    <mergeCell ref="B5:B9"/>
    <mergeCell ref="D7:D9"/>
    <mergeCell ref="E7:E9"/>
    <mergeCell ref="J8:J9"/>
    <mergeCell ref="Q8:Q9"/>
    <mergeCell ref="J7:L7"/>
    <mergeCell ref="H7:H9"/>
    <mergeCell ref="M8:M9"/>
    <mergeCell ref="F5:L5"/>
    <mergeCell ref="K1:L1"/>
    <mergeCell ref="M6:O6"/>
    <mergeCell ref="U4:V4"/>
    <mergeCell ref="M4:N4"/>
    <mergeCell ref="K4:L4"/>
    <mergeCell ref="G6:H6"/>
    <mergeCell ref="F6:F9"/>
    <mergeCell ref="M5:V5"/>
    <mergeCell ref="P7:P9"/>
    <mergeCell ref="C6:C9"/>
    <mergeCell ref="Y7:Y9"/>
    <mergeCell ref="X6:Y6"/>
    <mergeCell ref="T8:T9"/>
    <mergeCell ref="X7:X9"/>
    <mergeCell ref="W6:W9"/>
    <mergeCell ref="N8:O8"/>
    <mergeCell ref="M7:O7"/>
    <mergeCell ref="I6:L6"/>
    <mergeCell ref="P6:V6"/>
    <mergeCell ref="R8:S8"/>
    <mergeCell ref="T7:V7"/>
    <mergeCell ref="U8:V8"/>
    <mergeCell ref="W4:Y4"/>
    <mergeCell ref="W5:Y5"/>
    <mergeCell ref="Q7:S7"/>
  </mergeCells>
  <printOptions/>
  <pageMargins left="0.32" right="0" top="0.3" bottom="0.36" header="0" footer="0.27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K13" sqref="K13"/>
    </sheetView>
  </sheetViews>
  <sheetFormatPr defaultColWidth="7" defaultRowHeight="15"/>
  <cols>
    <col min="1" max="1" width="5" style="45" customWidth="1"/>
    <col min="2" max="2" width="20.19921875" style="45" customWidth="1"/>
    <col min="3" max="3" width="12.8984375" style="45" customWidth="1"/>
    <col min="4" max="4" width="6.09765625" style="45" customWidth="1"/>
    <col min="5" max="5" width="10.296875" style="45" customWidth="1"/>
    <col min="6" max="6" width="8.19921875" style="45" customWidth="1"/>
    <col min="7" max="7" width="8.796875" style="45" customWidth="1"/>
    <col min="8" max="10" width="11.8984375" style="45" customWidth="1"/>
    <col min="11" max="11" width="10.296875" style="45" customWidth="1"/>
    <col min="12" max="12" width="12.19921875" style="45" customWidth="1"/>
    <col min="13" max="16384" width="7" style="45" customWidth="1"/>
  </cols>
  <sheetData>
    <row r="1" spans="12:13" ht="19.5" customHeight="1">
      <c r="L1" s="589" t="s">
        <v>294</v>
      </c>
      <c r="M1" s="46"/>
    </row>
    <row r="2" spans="1:12" s="318" customFormat="1" ht="21" customHeight="1">
      <c r="A2" s="765" t="s">
        <v>295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</row>
    <row r="3" spans="1:12" s="318" customFormat="1" ht="21" customHeight="1">
      <c r="A3" s="765" t="s">
        <v>577</v>
      </c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</row>
    <row r="4" spans="1:12" s="47" customFormat="1" ht="18" customHeight="1">
      <c r="A4" s="766" t="str">
        <f>'Biểu 48'!A3</f>
        <v>(Kèm theo Nghị quyết số          /2019/NQ-HĐND ngày         /      /2019 của HĐND huyện Tuần Giáo)</v>
      </c>
      <c r="B4" s="766"/>
      <c r="C4" s="766"/>
      <c r="D4" s="766"/>
      <c r="E4" s="766"/>
      <c r="F4" s="766"/>
      <c r="G4" s="766"/>
      <c r="H4" s="766"/>
      <c r="I4" s="766"/>
      <c r="J4" s="766"/>
      <c r="K4" s="766"/>
      <c r="L4" s="766"/>
    </row>
    <row r="5" spans="11:14" ht="19.5" customHeight="1">
      <c r="K5" s="750" t="s">
        <v>276</v>
      </c>
      <c r="L5" s="750"/>
      <c r="M5" s="48"/>
      <c r="N5" s="48"/>
    </row>
    <row r="6" spans="1:12" s="320" customFormat="1" ht="18.75" customHeight="1">
      <c r="A6" s="767" t="s">
        <v>61</v>
      </c>
      <c r="B6" s="769" t="s">
        <v>296</v>
      </c>
      <c r="C6" s="770" t="s">
        <v>583</v>
      </c>
      <c r="D6" s="771" t="s">
        <v>574</v>
      </c>
      <c r="E6" s="771"/>
      <c r="F6" s="771"/>
      <c r="G6" s="771"/>
      <c r="H6" s="771" t="s">
        <v>575</v>
      </c>
      <c r="I6" s="771"/>
      <c r="J6" s="771"/>
      <c r="K6" s="771"/>
      <c r="L6" s="771" t="s">
        <v>651</v>
      </c>
    </row>
    <row r="7" spans="1:12" s="320" customFormat="1" ht="32.25" customHeight="1">
      <c r="A7" s="768"/>
      <c r="B7" s="769"/>
      <c r="C7" s="770"/>
      <c r="D7" s="770" t="s">
        <v>297</v>
      </c>
      <c r="E7" s="770"/>
      <c r="F7" s="770" t="s">
        <v>298</v>
      </c>
      <c r="G7" s="770" t="s">
        <v>299</v>
      </c>
      <c r="H7" s="770" t="s">
        <v>297</v>
      </c>
      <c r="I7" s="770"/>
      <c r="J7" s="770" t="s">
        <v>298</v>
      </c>
      <c r="K7" s="770" t="s">
        <v>299</v>
      </c>
      <c r="L7" s="771"/>
    </row>
    <row r="8" spans="1:12" s="320" customFormat="1" ht="33.75" customHeight="1">
      <c r="A8" s="768"/>
      <c r="B8" s="769"/>
      <c r="C8" s="770"/>
      <c r="D8" s="339" t="s">
        <v>78</v>
      </c>
      <c r="E8" s="339" t="s">
        <v>582</v>
      </c>
      <c r="F8" s="770"/>
      <c r="G8" s="770"/>
      <c r="H8" s="339" t="s">
        <v>78</v>
      </c>
      <c r="I8" s="339" t="s">
        <v>582</v>
      </c>
      <c r="J8" s="770"/>
      <c r="K8" s="770"/>
      <c r="L8" s="771"/>
    </row>
    <row r="9" spans="1:12" s="321" customFormat="1" ht="15.75" customHeight="1">
      <c r="A9" s="322" t="s">
        <v>9</v>
      </c>
      <c r="B9" s="322" t="s">
        <v>10</v>
      </c>
      <c r="C9" s="323">
        <v>1</v>
      </c>
      <c r="D9" s="323">
        <f>C9+1</f>
        <v>2</v>
      </c>
      <c r="E9" s="323">
        <f>D9+1</f>
        <v>3</v>
      </c>
      <c r="F9" s="323">
        <f>E9+1</f>
        <v>4</v>
      </c>
      <c r="G9" s="323" t="s">
        <v>300</v>
      </c>
      <c r="H9" s="323">
        <v>6</v>
      </c>
      <c r="I9" s="323">
        <f>H9+1</f>
        <v>7</v>
      </c>
      <c r="J9" s="323">
        <f>I9+1</f>
        <v>8</v>
      </c>
      <c r="K9" s="323" t="s">
        <v>301</v>
      </c>
      <c r="L9" s="322" t="s">
        <v>302</v>
      </c>
    </row>
    <row r="10" spans="1:12" s="320" customFormat="1" ht="24.75" customHeight="1">
      <c r="A10" s="319"/>
      <c r="B10" s="319" t="s">
        <v>436</v>
      </c>
      <c r="C10" s="324">
        <f aca="true" t="shared" si="0" ref="C10:L10">SUM(C11:C18)</f>
        <v>2392512665</v>
      </c>
      <c r="D10" s="324">
        <f t="shared" si="0"/>
        <v>0</v>
      </c>
      <c r="E10" s="324">
        <f t="shared" si="0"/>
        <v>0</v>
      </c>
      <c r="F10" s="324">
        <f t="shared" si="0"/>
        <v>0</v>
      </c>
      <c r="G10" s="324">
        <f t="shared" si="0"/>
        <v>0</v>
      </c>
      <c r="H10" s="324">
        <f t="shared" si="0"/>
        <v>2542668000</v>
      </c>
      <c r="I10" s="324">
        <f t="shared" si="0"/>
        <v>100000000</v>
      </c>
      <c r="J10" s="324">
        <f t="shared" si="0"/>
        <v>2291401000</v>
      </c>
      <c r="K10" s="324">
        <f t="shared" si="0"/>
        <v>251267000</v>
      </c>
      <c r="L10" s="324">
        <f t="shared" si="0"/>
        <v>2643779665</v>
      </c>
    </row>
    <row r="11" spans="1:12" s="328" customFormat="1" ht="25.5" customHeight="1">
      <c r="A11" s="325">
        <v>1</v>
      </c>
      <c r="B11" s="326" t="s">
        <v>434</v>
      </c>
      <c r="C11" s="327">
        <v>254427999.99999994</v>
      </c>
      <c r="D11" s="327"/>
      <c r="E11" s="327"/>
      <c r="F11" s="327"/>
      <c r="G11" s="327"/>
      <c r="H11" s="327">
        <v>419745000</v>
      </c>
      <c r="I11" s="327"/>
      <c r="J11" s="327">
        <v>419745000</v>
      </c>
      <c r="K11" s="327">
        <f aca="true" t="shared" si="1" ref="K11:K18">H11-J11</f>
        <v>0</v>
      </c>
      <c r="L11" s="327">
        <f aca="true" t="shared" si="2" ref="L11:L18">C11+H11-J11</f>
        <v>254428000</v>
      </c>
    </row>
    <row r="12" spans="1:12" s="328" customFormat="1" ht="25.5" customHeight="1">
      <c r="A12" s="329">
        <v>2</v>
      </c>
      <c r="B12" s="330" t="s">
        <v>435</v>
      </c>
      <c r="C12" s="331">
        <v>317505165.00000006</v>
      </c>
      <c r="D12" s="331"/>
      <c r="E12" s="331"/>
      <c r="F12" s="331"/>
      <c r="G12" s="331"/>
      <c r="H12" s="331">
        <v>0</v>
      </c>
      <c r="I12" s="331"/>
      <c r="J12" s="331">
        <v>0</v>
      </c>
      <c r="K12" s="331">
        <f t="shared" si="1"/>
        <v>0</v>
      </c>
      <c r="L12" s="331">
        <f t="shared" si="2"/>
        <v>317505165.00000006</v>
      </c>
    </row>
    <row r="13" spans="1:12" s="335" customFormat="1" ht="50.25" customHeight="1">
      <c r="A13" s="332">
        <v>3</v>
      </c>
      <c r="B13" s="333" t="s">
        <v>578</v>
      </c>
      <c r="C13" s="334">
        <v>267967999.99999997</v>
      </c>
      <c r="D13" s="334"/>
      <c r="E13" s="334"/>
      <c r="F13" s="334"/>
      <c r="G13" s="334"/>
      <c r="H13" s="334">
        <v>126683000</v>
      </c>
      <c r="I13" s="334"/>
      <c r="J13" s="334">
        <v>99700000</v>
      </c>
      <c r="K13" s="334">
        <f t="shared" si="1"/>
        <v>26983000</v>
      </c>
      <c r="L13" s="334">
        <f t="shared" si="2"/>
        <v>294951000</v>
      </c>
    </row>
    <row r="14" spans="1:12" s="335" customFormat="1" ht="25.5" customHeight="1">
      <c r="A14" s="329">
        <v>4</v>
      </c>
      <c r="B14" s="330" t="s">
        <v>433</v>
      </c>
      <c r="C14" s="334">
        <v>325927000.00000006</v>
      </c>
      <c r="D14" s="334"/>
      <c r="E14" s="334"/>
      <c r="F14" s="334"/>
      <c r="G14" s="334"/>
      <c r="H14" s="334">
        <v>573631000</v>
      </c>
      <c r="I14" s="334"/>
      <c r="J14" s="334">
        <v>461340000</v>
      </c>
      <c r="K14" s="334">
        <f t="shared" si="1"/>
        <v>112291000</v>
      </c>
      <c r="L14" s="334">
        <f t="shared" si="2"/>
        <v>438218000</v>
      </c>
    </row>
    <row r="15" spans="1:12" s="335" customFormat="1" ht="25.5" customHeight="1">
      <c r="A15" s="332">
        <v>5</v>
      </c>
      <c r="B15" s="330" t="s">
        <v>432</v>
      </c>
      <c r="C15" s="334">
        <v>43604500.00000003</v>
      </c>
      <c r="D15" s="334"/>
      <c r="E15" s="334"/>
      <c r="F15" s="334"/>
      <c r="G15" s="334"/>
      <c r="H15" s="334">
        <v>295262000</v>
      </c>
      <c r="I15" s="334"/>
      <c r="J15" s="334">
        <v>237655000</v>
      </c>
      <c r="K15" s="334">
        <f t="shared" si="1"/>
        <v>57607000</v>
      </c>
      <c r="L15" s="334">
        <f t="shared" si="2"/>
        <v>101211500</v>
      </c>
    </row>
    <row r="16" spans="1:12" s="335" customFormat="1" ht="25.5" customHeight="1">
      <c r="A16" s="329">
        <v>6</v>
      </c>
      <c r="B16" s="330" t="s">
        <v>579</v>
      </c>
      <c r="C16" s="334">
        <v>761141000.0000002</v>
      </c>
      <c r="D16" s="334"/>
      <c r="E16" s="334"/>
      <c r="F16" s="334"/>
      <c r="G16" s="334"/>
      <c r="H16" s="334">
        <v>789387000</v>
      </c>
      <c r="I16" s="331"/>
      <c r="J16" s="334">
        <v>722961000</v>
      </c>
      <c r="K16" s="334">
        <f t="shared" si="1"/>
        <v>66426000</v>
      </c>
      <c r="L16" s="334">
        <f t="shared" si="2"/>
        <v>827567000.0000002</v>
      </c>
    </row>
    <row r="17" spans="1:12" s="335" customFormat="1" ht="25.5" customHeight="1">
      <c r="A17" s="332">
        <v>7</v>
      </c>
      <c r="B17" s="330" t="s">
        <v>580</v>
      </c>
      <c r="C17" s="334">
        <v>356035999.99999994</v>
      </c>
      <c r="D17" s="334"/>
      <c r="E17" s="334"/>
      <c r="F17" s="334"/>
      <c r="G17" s="334"/>
      <c r="H17" s="334">
        <v>185000000</v>
      </c>
      <c r="I17" s="331"/>
      <c r="J17" s="334">
        <v>200000000</v>
      </c>
      <c r="K17" s="334">
        <f t="shared" si="1"/>
        <v>-15000000</v>
      </c>
      <c r="L17" s="334">
        <f t="shared" si="2"/>
        <v>341036000</v>
      </c>
    </row>
    <row r="18" spans="1:12" s="335" customFormat="1" ht="25.5" customHeight="1">
      <c r="A18" s="329">
        <v>8</v>
      </c>
      <c r="B18" s="330" t="s">
        <v>581</v>
      </c>
      <c r="C18" s="334">
        <v>65903000.00000001</v>
      </c>
      <c r="D18" s="334"/>
      <c r="E18" s="334"/>
      <c r="F18" s="334"/>
      <c r="G18" s="334"/>
      <c r="H18" s="334">
        <v>152960000</v>
      </c>
      <c r="I18" s="334">
        <v>100000000</v>
      </c>
      <c r="J18" s="334">
        <v>150000000</v>
      </c>
      <c r="K18" s="334">
        <f t="shared" si="1"/>
        <v>2960000</v>
      </c>
      <c r="L18" s="334">
        <f t="shared" si="2"/>
        <v>68863000</v>
      </c>
    </row>
    <row r="19" spans="1:12" s="335" customFormat="1" ht="12" customHeight="1">
      <c r="A19" s="336"/>
      <c r="B19" s="338"/>
      <c r="C19" s="337"/>
      <c r="D19" s="337"/>
      <c r="E19" s="337"/>
      <c r="F19" s="337"/>
      <c r="G19" s="337"/>
      <c r="H19" s="337"/>
      <c r="I19" s="337"/>
      <c r="J19" s="337"/>
      <c r="K19" s="337"/>
      <c r="L19" s="337"/>
    </row>
  </sheetData>
  <sheetProtection/>
  <mergeCells count="16">
    <mergeCell ref="H6:K6"/>
    <mergeCell ref="L6:L8"/>
    <mergeCell ref="J7:J8"/>
    <mergeCell ref="K7:K8"/>
    <mergeCell ref="H7:I7"/>
    <mergeCell ref="A6:A8"/>
    <mergeCell ref="B6:B8"/>
    <mergeCell ref="C6:C8"/>
    <mergeCell ref="D6:G6"/>
    <mergeCell ref="D7:E7"/>
    <mergeCell ref="F7:F8"/>
    <mergeCell ref="G7:G8"/>
    <mergeCell ref="K5:L5"/>
    <mergeCell ref="A2:L2"/>
    <mergeCell ref="A3:L3"/>
    <mergeCell ref="A4:L4"/>
  </mergeCells>
  <printOptions/>
  <pageMargins left="0.49" right="0.2" top="0.54" bottom="1" header="0.44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B14" sqref="B14"/>
    </sheetView>
  </sheetViews>
  <sheetFormatPr defaultColWidth="8.796875" defaultRowHeight="15"/>
  <cols>
    <col min="1" max="1" width="5.19921875" style="55" customWidth="1"/>
    <col min="2" max="2" width="38.796875" style="55" customWidth="1"/>
    <col min="3" max="3" width="14.69921875" style="55" customWidth="1"/>
    <col min="4" max="4" width="14.8984375" style="55" customWidth="1"/>
    <col min="5" max="5" width="14.69921875" style="55" customWidth="1"/>
    <col min="6" max="6" width="9" style="55" customWidth="1"/>
    <col min="7" max="9" width="0" style="55" hidden="1" customWidth="1"/>
    <col min="10" max="16384" width="9" style="55" customWidth="1"/>
  </cols>
  <sheetData>
    <row r="1" spans="1:5" s="51" customFormat="1" ht="27.75" customHeight="1">
      <c r="A1" s="49"/>
      <c r="B1" s="50"/>
      <c r="D1" s="52"/>
      <c r="E1" s="590" t="s">
        <v>303</v>
      </c>
    </row>
    <row r="2" spans="1:5" ht="29.25" customHeight="1">
      <c r="A2" s="776" t="s">
        <v>573</v>
      </c>
      <c r="B2" s="776"/>
      <c r="C2" s="776"/>
      <c r="D2" s="776"/>
      <c r="E2" s="776"/>
    </row>
    <row r="3" spans="1:5" ht="20.25" customHeight="1">
      <c r="A3" s="776" t="s">
        <v>304</v>
      </c>
      <c r="B3" s="776"/>
      <c r="C3" s="776"/>
      <c r="D3" s="776"/>
      <c r="E3" s="776"/>
    </row>
    <row r="4" spans="1:11" ht="23.25" customHeight="1">
      <c r="A4" s="766" t="str">
        <f>'Biểu 48'!A3</f>
        <v>(Kèm theo Nghị quyết số          /2019/NQ-HĐND ngày         /      /2019 của HĐND huyện Tuần Giáo)</v>
      </c>
      <c r="B4" s="766"/>
      <c r="C4" s="766"/>
      <c r="D4" s="766"/>
      <c r="E4" s="766"/>
      <c r="F4" s="24"/>
      <c r="G4" s="24"/>
      <c r="H4" s="24"/>
      <c r="I4" s="24"/>
      <c r="J4" s="24"/>
      <c r="K4" s="24"/>
    </row>
    <row r="5" spans="1:11" ht="18.75" customHeight="1">
      <c r="A5" s="26"/>
      <c r="B5" s="26"/>
      <c r="C5" s="26"/>
      <c r="D5" s="26"/>
      <c r="E5" s="26"/>
      <c r="F5" s="24"/>
      <c r="G5" s="24"/>
      <c r="H5" s="24"/>
      <c r="I5" s="24"/>
      <c r="J5" s="24"/>
      <c r="K5" s="24"/>
    </row>
    <row r="6" spans="4:5" ht="18.75" customHeight="1">
      <c r="D6" s="772" t="s">
        <v>276</v>
      </c>
      <c r="E6" s="772"/>
    </row>
    <row r="7" spans="1:5" s="63" customFormat="1" ht="50.25" customHeight="1">
      <c r="A7" s="305" t="s">
        <v>61</v>
      </c>
      <c r="B7" s="305" t="s">
        <v>5</v>
      </c>
      <c r="C7" s="306" t="s">
        <v>574</v>
      </c>
      <c r="D7" s="307" t="s">
        <v>575</v>
      </c>
      <c r="E7" s="308" t="s">
        <v>87</v>
      </c>
    </row>
    <row r="8" spans="1:5" ht="26.25" customHeight="1" hidden="1">
      <c r="A8" s="309"/>
      <c r="B8" s="65"/>
      <c r="C8" s="775" t="s">
        <v>29</v>
      </c>
      <c r="D8" s="775" t="s">
        <v>29</v>
      </c>
      <c r="E8" s="310"/>
    </row>
    <row r="9" spans="1:6" s="71" customFormat="1" ht="54" customHeight="1" hidden="1">
      <c r="A9" s="311"/>
      <c r="B9" s="68"/>
      <c r="C9" s="775"/>
      <c r="D9" s="775"/>
      <c r="E9" s="312"/>
      <c r="F9" s="70"/>
    </row>
    <row r="10" spans="1:6" s="76" customFormat="1" ht="17.25" customHeight="1">
      <c r="A10" s="102" t="s">
        <v>9</v>
      </c>
      <c r="B10" s="102" t="s">
        <v>10</v>
      </c>
      <c r="C10" s="102">
        <v>1</v>
      </c>
      <c r="D10" s="102">
        <v>2</v>
      </c>
      <c r="E10" s="313" t="s">
        <v>54</v>
      </c>
      <c r="F10" s="75"/>
    </row>
    <row r="11" spans="1:8" s="51" customFormat="1" ht="25.5" customHeight="1">
      <c r="A11" s="240"/>
      <c r="B11" s="241" t="s">
        <v>29</v>
      </c>
      <c r="C11" s="244">
        <f>C12</f>
        <v>690000000</v>
      </c>
      <c r="D11" s="244">
        <f>D12</f>
        <v>805679561</v>
      </c>
      <c r="E11" s="314">
        <f>D11/C11</f>
        <v>1.1676515376811594</v>
      </c>
      <c r="G11" s="51">
        <v>2018</v>
      </c>
      <c r="H11" s="51">
        <v>860</v>
      </c>
    </row>
    <row r="12" spans="1:9" s="51" customFormat="1" ht="25.5" customHeight="1">
      <c r="A12" s="242">
        <v>1</v>
      </c>
      <c r="B12" s="243" t="s">
        <v>437</v>
      </c>
      <c r="C12" s="239">
        <v>690000000</v>
      </c>
      <c r="D12" s="239">
        <v>805679561</v>
      </c>
      <c r="E12" s="315">
        <f>D12/C12</f>
        <v>1.1676515376811594</v>
      </c>
      <c r="G12" s="51">
        <v>2019</v>
      </c>
      <c r="H12" s="51">
        <v>690</v>
      </c>
      <c r="I12" s="51" t="s">
        <v>576</v>
      </c>
    </row>
    <row r="13" spans="1:5" ht="25.5" customHeight="1">
      <c r="A13" s="316"/>
      <c r="B13" s="316"/>
      <c r="C13" s="317"/>
      <c r="D13" s="317"/>
      <c r="E13" s="317"/>
    </row>
    <row r="15" s="77" customFormat="1" ht="15.75" customHeight="1"/>
    <row r="16" ht="15.75" hidden="1">
      <c r="B16" s="78" t="s">
        <v>305</v>
      </c>
    </row>
    <row r="17" ht="15.75" hidden="1">
      <c r="B17" s="78" t="s">
        <v>306</v>
      </c>
    </row>
    <row r="41" spans="1:5" ht="18.75" hidden="1">
      <c r="A41" s="49"/>
      <c r="B41" s="50"/>
      <c r="C41" s="51"/>
      <c r="D41" s="52"/>
      <c r="E41" s="53" t="s">
        <v>307</v>
      </c>
    </row>
    <row r="42" spans="1:5" ht="15.75" hidden="1">
      <c r="A42" s="49"/>
      <c r="B42" s="50"/>
      <c r="C42" s="51"/>
      <c r="D42" s="51"/>
      <c r="E42" s="54"/>
    </row>
    <row r="43" spans="1:5" ht="18.75" hidden="1">
      <c r="A43" s="773" t="s">
        <v>308</v>
      </c>
      <c r="B43" s="773"/>
      <c r="C43" s="773"/>
      <c r="D43" s="773"/>
      <c r="E43" s="773"/>
    </row>
    <row r="44" spans="1:5" ht="18.75" hidden="1">
      <c r="A44" s="773" t="s">
        <v>309</v>
      </c>
      <c r="B44" s="773"/>
      <c r="C44" s="773"/>
      <c r="D44" s="773"/>
      <c r="E44" s="773"/>
    </row>
    <row r="45" spans="1:5" ht="18.75" hidden="1">
      <c r="A45" s="774" t="s">
        <v>35</v>
      </c>
      <c r="B45" s="774"/>
      <c r="C45" s="774"/>
      <c r="D45" s="774"/>
      <c r="E45" s="774"/>
    </row>
    <row r="46" spans="1:5" ht="18.75" hidden="1">
      <c r="A46" s="26"/>
      <c r="B46" s="26"/>
      <c r="C46" s="26"/>
      <c r="D46" s="26"/>
      <c r="E46" s="26"/>
    </row>
    <row r="47" spans="4:5" ht="19.5" hidden="1" thickBot="1">
      <c r="D47" s="56"/>
      <c r="E47" s="57" t="s">
        <v>81</v>
      </c>
    </row>
    <row r="48" spans="1:5" ht="37.5" hidden="1">
      <c r="A48" s="58" t="s">
        <v>61</v>
      </c>
      <c r="B48" s="59" t="s">
        <v>5</v>
      </c>
      <c r="C48" s="61" t="s">
        <v>310</v>
      </c>
      <c r="D48" s="60" t="s">
        <v>311</v>
      </c>
      <c r="E48" s="62" t="s">
        <v>87</v>
      </c>
    </row>
    <row r="49" spans="1:5" ht="15.75" hidden="1">
      <c r="A49" s="64"/>
      <c r="B49" s="65"/>
      <c r="C49" s="775" t="s">
        <v>29</v>
      </c>
      <c r="D49" s="775" t="s">
        <v>29</v>
      </c>
      <c r="E49" s="66"/>
    </row>
    <row r="50" spans="1:5" ht="15.75" hidden="1">
      <c r="A50" s="67"/>
      <c r="B50" s="68"/>
      <c r="C50" s="775"/>
      <c r="D50" s="775"/>
      <c r="E50" s="69"/>
    </row>
    <row r="51" spans="1:5" ht="15.75" hidden="1">
      <c r="A51" s="72" t="s">
        <v>9</v>
      </c>
      <c r="B51" s="73" t="s">
        <v>10</v>
      </c>
      <c r="C51" s="73">
        <v>1</v>
      </c>
      <c r="D51" s="73">
        <v>2</v>
      </c>
      <c r="E51" s="74" t="s">
        <v>54</v>
      </c>
    </row>
    <row r="52" spans="1:5" ht="18.75" hidden="1">
      <c r="A52" s="79"/>
      <c r="B52" s="80" t="s">
        <v>29</v>
      </c>
      <c r="C52" s="81"/>
      <c r="D52" s="81"/>
      <c r="E52" s="82"/>
    </row>
    <row r="53" spans="1:5" ht="18.75" hidden="1">
      <c r="A53" s="83"/>
      <c r="B53" s="84" t="s">
        <v>32</v>
      </c>
      <c r="C53" s="85"/>
      <c r="D53" s="85"/>
      <c r="E53" s="86"/>
    </row>
    <row r="54" spans="1:5" ht="18.75" hidden="1">
      <c r="A54" s="83"/>
      <c r="B54" s="87" t="s">
        <v>312</v>
      </c>
      <c r="C54" s="85"/>
      <c r="D54" s="85"/>
      <c r="E54" s="86"/>
    </row>
    <row r="55" spans="1:5" ht="18.75" hidden="1">
      <c r="A55" s="83"/>
      <c r="B55" s="87" t="s">
        <v>313</v>
      </c>
      <c r="C55" s="85"/>
      <c r="D55" s="85"/>
      <c r="E55" s="86"/>
    </row>
    <row r="56" spans="1:5" ht="18.75" hidden="1">
      <c r="A56" s="83"/>
      <c r="B56" s="87" t="s">
        <v>314</v>
      </c>
      <c r="C56" s="85"/>
      <c r="D56" s="85"/>
      <c r="E56" s="86"/>
    </row>
    <row r="57" spans="1:5" ht="18.75" hidden="1">
      <c r="A57" s="88">
        <v>1</v>
      </c>
      <c r="B57" s="89" t="s">
        <v>315</v>
      </c>
      <c r="C57" s="90"/>
      <c r="D57" s="90"/>
      <c r="E57" s="91"/>
    </row>
    <row r="58" spans="1:5" ht="18.75" hidden="1">
      <c r="A58" s="83"/>
      <c r="B58" s="84" t="s">
        <v>32</v>
      </c>
      <c r="C58" s="85"/>
      <c r="D58" s="85"/>
      <c r="E58" s="86"/>
    </row>
    <row r="59" spans="1:5" ht="18.75" hidden="1">
      <c r="A59" s="83"/>
      <c r="B59" s="87" t="s">
        <v>312</v>
      </c>
      <c r="C59" s="85"/>
      <c r="D59" s="85"/>
      <c r="E59" s="86"/>
    </row>
    <row r="60" spans="1:5" ht="18.75" hidden="1">
      <c r="A60" s="83"/>
      <c r="B60" s="87" t="s">
        <v>313</v>
      </c>
      <c r="C60" s="85"/>
      <c r="D60" s="85"/>
      <c r="E60" s="86"/>
    </row>
    <row r="61" spans="1:5" ht="18.75" hidden="1">
      <c r="A61" s="83"/>
      <c r="B61" s="87" t="s">
        <v>314</v>
      </c>
      <c r="C61" s="85"/>
      <c r="D61" s="85"/>
      <c r="E61" s="86"/>
    </row>
    <row r="62" spans="1:5" ht="18.75" hidden="1">
      <c r="A62" s="88">
        <v>2</v>
      </c>
      <c r="B62" s="89" t="s">
        <v>316</v>
      </c>
      <c r="C62" s="92"/>
      <c r="D62" s="92"/>
      <c r="E62" s="93"/>
    </row>
    <row r="63" spans="1:5" ht="18.75" hidden="1">
      <c r="A63" s="83"/>
      <c r="B63" s="84" t="s">
        <v>32</v>
      </c>
      <c r="C63" s="92"/>
      <c r="D63" s="92"/>
      <c r="E63" s="93"/>
    </row>
    <row r="64" spans="1:5" ht="18.75" hidden="1">
      <c r="A64" s="83"/>
      <c r="B64" s="87" t="s">
        <v>312</v>
      </c>
      <c r="C64" s="92"/>
      <c r="D64" s="92"/>
      <c r="E64" s="93"/>
    </row>
    <row r="65" spans="1:5" ht="18.75" hidden="1">
      <c r="A65" s="83"/>
      <c r="B65" s="87" t="s">
        <v>313</v>
      </c>
      <c r="C65" s="92"/>
      <c r="D65" s="92"/>
      <c r="E65" s="93"/>
    </row>
    <row r="66" spans="1:5" ht="18.75" hidden="1">
      <c r="A66" s="83"/>
      <c r="B66" s="87" t="s">
        <v>314</v>
      </c>
      <c r="C66" s="85"/>
      <c r="D66" s="85"/>
      <c r="E66" s="86"/>
    </row>
    <row r="67" spans="1:5" ht="18.75" hidden="1">
      <c r="A67" s="88">
        <v>3</v>
      </c>
      <c r="B67" s="89" t="s">
        <v>317</v>
      </c>
      <c r="C67" s="92"/>
      <c r="D67" s="92"/>
      <c r="E67" s="93"/>
    </row>
    <row r="68" spans="1:5" ht="18.75" hidden="1">
      <c r="A68" s="83"/>
      <c r="B68" s="84" t="s">
        <v>32</v>
      </c>
      <c r="C68" s="92"/>
      <c r="D68" s="92"/>
      <c r="E68" s="93"/>
    </row>
    <row r="69" spans="1:5" ht="18.75" hidden="1">
      <c r="A69" s="83"/>
      <c r="B69" s="87" t="s">
        <v>312</v>
      </c>
      <c r="C69" s="92"/>
      <c r="D69" s="92"/>
      <c r="E69" s="93"/>
    </row>
    <row r="70" spans="1:5" ht="18.75" hidden="1">
      <c r="A70" s="83"/>
      <c r="B70" s="87" t="s">
        <v>313</v>
      </c>
      <c r="C70" s="92"/>
      <c r="D70" s="92"/>
      <c r="E70" s="93"/>
    </row>
    <row r="71" spans="1:5" ht="18.75" hidden="1">
      <c r="A71" s="83"/>
      <c r="B71" s="87" t="s">
        <v>314</v>
      </c>
      <c r="C71" s="85"/>
      <c r="D71" s="85"/>
      <c r="E71" s="86"/>
    </row>
    <row r="72" spans="1:5" ht="19.5" hidden="1" thickBot="1">
      <c r="A72" s="94"/>
      <c r="B72" s="95"/>
      <c r="C72" s="96"/>
      <c r="D72" s="96"/>
      <c r="E72" s="97"/>
    </row>
    <row r="73" ht="15.75" hidden="1"/>
    <row r="74" ht="15.75" hidden="1"/>
    <row r="75" ht="15.75" hidden="1"/>
    <row r="76" ht="15.75" hidden="1"/>
    <row r="77" ht="15.75" hidden="1"/>
  </sheetData>
  <sheetProtection/>
  <mergeCells count="11">
    <mergeCell ref="A2:E2"/>
    <mergeCell ref="A3:E3"/>
    <mergeCell ref="A4:E4"/>
    <mergeCell ref="C8:C9"/>
    <mergeCell ref="D8:D9"/>
    <mergeCell ref="D6:E6"/>
    <mergeCell ref="A44:E44"/>
    <mergeCell ref="A45:E45"/>
    <mergeCell ref="C49:C50"/>
    <mergeCell ref="D49:D50"/>
    <mergeCell ref="A43:E43"/>
  </mergeCells>
  <printOptions/>
  <pageMargins left="0.6" right="0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6">
      <selection activeCell="B42" sqref="B42"/>
    </sheetView>
  </sheetViews>
  <sheetFormatPr defaultColWidth="8.796875" defaultRowHeight="15"/>
  <cols>
    <col min="1" max="1" width="6.09765625" style="4" customWidth="1"/>
    <col min="2" max="2" width="38.69921875" style="4" customWidth="1"/>
    <col min="3" max="3" width="15.3984375" style="4" customWidth="1"/>
    <col min="4" max="4" width="15.3984375" style="144" customWidth="1"/>
    <col min="5" max="5" width="8.8984375" style="4" customWidth="1"/>
    <col min="6" max="6" width="9.296875" style="238" customWidth="1"/>
    <col min="7" max="7" width="16" style="238" hidden="1" customWidth="1"/>
    <col min="8" max="8" width="16.09765625" style="289" hidden="1" customWidth="1"/>
    <col min="9" max="16384" width="9" style="4" customWidth="1"/>
  </cols>
  <sheetData>
    <row r="1" spans="1:5" ht="21" customHeight="1">
      <c r="A1" s="1"/>
      <c r="B1" s="1"/>
      <c r="C1" s="2"/>
      <c r="D1" s="622" t="s">
        <v>143</v>
      </c>
      <c r="E1" s="622"/>
    </row>
    <row r="2" spans="1:5" ht="12.75" customHeight="1" hidden="1">
      <c r="A2" s="5"/>
      <c r="B2" s="5"/>
      <c r="C2" s="2"/>
      <c r="D2" s="153"/>
      <c r="E2" s="2"/>
    </row>
    <row r="3" spans="1:5" ht="21" customHeight="1">
      <c r="A3" s="3" t="s">
        <v>144</v>
      </c>
      <c r="B3" s="3"/>
      <c r="C3" s="6"/>
      <c r="D3" s="156"/>
      <c r="E3" s="6"/>
    </row>
    <row r="4" spans="1:5" ht="21" customHeight="1">
      <c r="A4" s="3" t="s">
        <v>514</v>
      </c>
      <c r="B4" s="3"/>
      <c r="C4" s="2"/>
      <c r="D4" s="153"/>
      <c r="E4" s="2"/>
    </row>
    <row r="5" spans="1:5" ht="21" customHeight="1">
      <c r="A5" s="247" t="str">
        <f>'Biểu 48'!A3</f>
        <v>(Kèm theo Nghị quyết số          /2019/NQ-HĐND ngày         /      /2019 của HĐND huyện Tuần Giáo)</v>
      </c>
      <c r="B5" s="3"/>
      <c r="C5" s="2"/>
      <c r="D5" s="153"/>
      <c r="E5" s="2"/>
    </row>
    <row r="6" spans="1:5" ht="19.5" customHeight="1">
      <c r="A6" s="8"/>
      <c r="B6" s="8"/>
      <c r="C6" s="23"/>
      <c r="D6" s="611" t="s">
        <v>276</v>
      </c>
      <c r="E6" s="611"/>
    </row>
    <row r="7" spans="1:8" s="10" customFormat="1" ht="10.5" customHeight="1">
      <c r="A7" s="612" t="s">
        <v>61</v>
      </c>
      <c r="B7" s="612" t="s">
        <v>5</v>
      </c>
      <c r="C7" s="612" t="s">
        <v>6</v>
      </c>
      <c r="D7" s="623" t="s">
        <v>60</v>
      </c>
      <c r="E7" s="612" t="s">
        <v>62</v>
      </c>
      <c r="F7" s="238"/>
      <c r="G7" s="238"/>
      <c r="H7" s="289"/>
    </row>
    <row r="8" spans="1:8" s="10" customFormat="1" ht="9" customHeight="1">
      <c r="A8" s="613"/>
      <c r="B8" s="613"/>
      <c r="C8" s="613"/>
      <c r="D8" s="624"/>
      <c r="E8" s="613"/>
      <c r="F8" s="238"/>
      <c r="G8" s="238"/>
      <c r="H8" s="289"/>
    </row>
    <row r="9" spans="1:8" s="10" customFormat="1" ht="18" customHeight="1">
      <c r="A9" s="614"/>
      <c r="B9" s="614"/>
      <c r="C9" s="614"/>
      <c r="D9" s="625"/>
      <c r="E9" s="27" t="s">
        <v>86</v>
      </c>
      <c r="F9" s="238"/>
      <c r="G9" s="238"/>
      <c r="H9" s="289"/>
    </row>
    <row r="10" spans="1:7" s="30" customFormat="1" ht="17.25" customHeight="1">
      <c r="A10" s="29" t="s">
        <v>9</v>
      </c>
      <c r="B10" s="28" t="s">
        <v>10</v>
      </c>
      <c r="C10" s="29">
        <v>1</v>
      </c>
      <c r="D10" s="400">
        <f>C10+1</f>
        <v>2</v>
      </c>
      <c r="E10" s="125" t="s">
        <v>54</v>
      </c>
      <c r="F10" s="293"/>
      <c r="G10" s="293"/>
    </row>
    <row r="11" spans="1:8" s="9" customFormat="1" ht="22.5" customHeight="1">
      <c r="A11" s="115" t="s">
        <v>9</v>
      </c>
      <c r="B11" s="116" t="s">
        <v>155</v>
      </c>
      <c r="C11" s="117"/>
      <c r="D11" s="401"/>
      <c r="E11" s="117"/>
      <c r="F11" s="238"/>
      <c r="G11" s="238"/>
      <c r="H11" s="289"/>
    </row>
    <row r="12" spans="1:9" s="11" customFormat="1" ht="21" customHeight="1">
      <c r="A12" s="118" t="s">
        <v>18</v>
      </c>
      <c r="B12" s="119" t="s">
        <v>145</v>
      </c>
      <c r="C12" s="557">
        <f>C13+C14+C17+C18+C19</f>
        <v>670846000000</v>
      </c>
      <c r="D12" s="558">
        <f>D13+D14+D17+D18+D19</f>
        <v>757606985902</v>
      </c>
      <c r="E12" s="559">
        <f>D12/C12</f>
        <v>1.1293307046654524</v>
      </c>
      <c r="F12" s="298"/>
      <c r="G12" s="238" t="s">
        <v>637</v>
      </c>
      <c r="H12" s="295">
        <f>C12+C29-C31</f>
        <v>679098000000</v>
      </c>
      <c r="I12" s="394"/>
    </row>
    <row r="13" spans="1:8" s="9" customFormat="1" ht="21" customHeight="1">
      <c r="A13" s="120">
        <v>1</v>
      </c>
      <c r="B13" s="32" t="s">
        <v>146</v>
      </c>
      <c r="C13" s="560">
        <v>38998000000</v>
      </c>
      <c r="D13" s="561">
        <f>51218383206</f>
        <v>51218383206</v>
      </c>
      <c r="E13" s="562">
        <f>D13/C13</f>
        <v>1.3133592288322478</v>
      </c>
      <c r="F13" s="238"/>
      <c r="G13" s="238">
        <f>C13+C30</f>
        <v>47250000000</v>
      </c>
      <c r="H13" s="238">
        <f>D13+D30</f>
        <v>58156396227</v>
      </c>
    </row>
    <row r="14" spans="1:8" s="9" customFormat="1" ht="21" customHeight="1">
      <c r="A14" s="120">
        <f>A13+1</f>
        <v>2</v>
      </c>
      <c r="B14" s="32" t="s">
        <v>36</v>
      </c>
      <c r="C14" s="560">
        <f>C15+C16</f>
        <v>631848000000</v>
      </c>
      <c r="D14" s="561">
        <f>D15+D16</f>
        <v>661365718919</v>
      </c>
      <c r="E14" s="562">
        <f aca="true" t="shared" si="0" ref="E14:E37">D14/C14</f>
        <v>1.046716487064927</v>
      </c>
      <c r="F14" s="238"/>
      <c r="G14" s="238"/>
      <c r="H14" s="289"/>
    </row>
    <row r="15" spans="1:8" s="9" customFormat="1" ht="21" customHeight="1">
      <c r="A15" s="121" t="s">
        <v>15</v>
      </c>
      <c r="B15" s="32" t="s">
        <v>147</v>
      </c>
      <c r="C15" s="560">
        <v>544752000000</v>
      </c>
      <c r="D15" s="561">
        <v>544752000000</v>
      </c>
      <c r="E15" s="562">
        <f t="shared" si="0"/>
        <v>1</v>
      </c>
      <c r="F15" s="238"/>
      <c r="G15" s="238"/>
      <c r="H15" s="289"/>
    </row>
    <row r="16" spans="1:7" s="9" customFormat="1" ht="21" customHeight="1">
      <c r="A16" s="121" t="s">
        <v>15</v>
      </c>
      <c r="B16" s="32" t="s">
        <v>148</v>
      </c>
      <c r="C16" s="560">
        <v>87096000000</v>
      </c>
      <c r="D16" s="561">
        <f>126730670160-10116951241</f>
        <v>116613718919</v>
      </c>
      <c r="E16" s="562">
        <f t="shared" si="0"/>
        <v>1.3389101556787912</v>
      </c>
      <c r="F16" s="238"/>
      <c r="G16" s="238"/>
    </row>
    <row r="17" spans="1:8" s="9" customFormat="1" ht="21" customHeight="1">
      <c r="A17" s="121">
        <v>3</v>
      </c>
      <c r="B17" s="32" t="s">
        <v>364</v>
      </c>
      <c r="C17" s="560"/>
      <c r="D17" s="561">
        <f>709403765</f>
        <v>709403765</v>
      </c>
      <c r="E17" s="562"/>
      <c r="F17" s="238"/>
      <c r="G17" s="238"/>
      <c r="H17" s="289"/>
    </row>
    <row r="18" spans="1:8" s="9" customFormat="1" ht="21" customHeight="1">
      <c r="A18" s="120">
        <v>4</v>
      </c>
      <c r="B18" s="32" t="s">
        <v>34</v>
      </c>
      <c r="C18" s="560"/>
      <c r="D18" s="561">
        <v>44185146309</v>
      </c>
      <c r="E18" s="562"/>
      <c r="F18" s="238"/>
      <c r="G18" s="238"/>
      <c r="H18" s="289"/>
    </row>
    <row r="19" spans="1:8" s="9" customFormat="1" ht="21" customHeight="1">
      <c r="A19" s="120">
        <v>5</v>
      </c>
      <c r="B19" s="32" t="s">
        <v>149</v>
      </c>
      <c r="C19" s="560"/>
      <c r="D19" s="561">
        <v>128333703</v>
      </c>
      <c r="E19" s="562"/>
      <c r="F19" s="238"/>
      <c r="G19" s="238"/>
      <c r="H19" s="289"/>
    </row>
    <row r="20" spans="1:8" s="11" customFormat="1" ht="21" customHeight="1">
      <c r="A20" s="118" t="s">
        <v>19</v>
      </c>
      <c r="B20" s="119" t="s">
        <v>150</v>
      </c>
      <c r="C20" s="557">
        <f>C21+C22+C26+C25</f>
        <v>670846000000</v>
      </c>
      <c r="D20" s="558">
        <f>D21+D22+D26+D25</f>
        <v>757194352478</v>
      </c>
      <c r="E20" s="559">
        <f t="shared" si="0"/>
        <v>1.1287156105544343</v>
      </c>
      <c r="F20" s="290"/>
      <c r="G20" s="238" t="s">
        <v>638</v>
      </c>
      <c r="H20" s="291"/>
    </row>
    <row r="21" spans="1:8" s="9" customFormat="1" ht="21" customHeight="1">
      <c r="A21" s="120">
        <v>1</v>
      </c>
      <c r="B21" s="32" t="s">
        <v>161</v>
      </c>
      <c r="C21" s="561">
        <v>575440200000</v>
      </c>
      <c r="D21" s="162">
        <f>595750916395-10116951241</f>
        <v>585633965154</v>
      </c>
      <c r="E21" s="562">
        <f t="shared" si="0"/>
        <v>1.0177147254467103</v>
      </c>
      <c r="F21" s="294"/>
      <c r="G21" s="238">
        <f>'Biểu 52'!D13-D21</f>
        <v>0</v>
      </c>
      <c r="H21" s="238"/>
    </row>
    <row r="22" spans="1:8" s="9" customFormat="1" ht="21" customHeight="1">
      <c r="A22" s="121">
        <f>A21+1</f>
        <v>2</v>
      </c>
      <c r="B22" s="32" t="s">
        <v>151</v>
      </c>
      <c r="C22" s="561">
        <f>C23+C24</f>
        <v>95405800000</v>
      </c>
      <c r="D22" s="561">
        <f>D23+D24</f>
        <v>120798698262</v>
      </c>
      <c r="E22" s="562">
        <f t="shared" si="0"/>
        <v>1.2661567563187983</v>
      </c>
      <c r="F22" s="238"/>
      <c r="G22" s="238">
        <f>D22-'Biểu 52'!D10</f>
        <v>0</v>
      </c>
      <c r="H22" s="289"/>
    </row>
    <row r="23" spans="1:8" s="9" customFormat="1" ht="21" customHeight="1">
      <c r="A23" s="120" t="s">
        <v>15</v>
      </c>
      <c r="B23" s="32" t="s">
        <v>152</v>
      </c>
      <c r="C23" s="561">
        <v>81470000000</v>
      </c>
      <c r="D23" s="561">
        <v>81470000000</v>
      </c>
      <c r="E23" s="562">
        <f t="shared" si="0"/>
        <v>1</v>
      </c>
      <c r="F23" s="238"/>
      <c r="G23" s="238"/>
      <c r="H23" s="289"/>
    </row>
    <row r="24" spans="1:8" s="9" customFormat="1" ht="21" customHeight="1">
      <c r="A24" s="120" t="s">
        <v>15</v>
      </c>
      <c r="B24" s="32" t="s">
        <v>153</v>
      </c>
      <c r="C24" s="561">
        <v>13935800000</v>
      </c>
      <c r="D24" s="561">
        <f>39428550391-99852129</f>
        <v>39328698262</v>
      </c>
      <c r="E24" s="562">
        <f t="shared" si="0"/>
        <v>2.822134234274315</v>
      </c>
      <c r="F24" s="238"/>
      <c r="G24" s="238"/>
      <c r="H24" s="289"/>
    </row>
    <row r="25" spans="1:8" s="9" customFormat="1" ht="21" customHeight="1">
      <c r="A25" s="121">
        <v>3</v>
      </c>
      <c r="B25" s="32" t="s">
        <v>365</v>
      </c>
      <c r="C25" s="561"/>
      <c r="D25" s="561">
        <v>5574053860</v>
      </c>
      <c r="E25" s="562"/>
      <c r="F25" s="238"/>
      <c r="G25" s="238">
        <f>D25-'Biểu 52'!D38</f>
        <v>0</v>
      </c>
      <c r="H25" s="289"/>
    </row>
    <row r="26" spans="1:8" s="9" customFormat="1" ht="21" customHeight="1">
      <c r="A26" s="121">
        <v>4</v>
      </c>
      <c r="B26" s="32" t="s">
        <v>67</v>
      </c>
      <c r="C26" s="561"/>
      <c r="D26" s="561">
        <v>45187635202</v>
      </c>
      <c r="E26" s="562"/>
      <c r="F26" s="238"/>
      <c r="G26" s="238">
        <f>D26-'Biểu 52'!D39</f>
        <v>0</v>
      </c>
      <c r="H26" s="289"/>
    </row>
    <row r="27" spans="1:8" s="11" customFormat="1" ht="21" customHeight="1">
      <c r="A27" s="122" t="s">
        <v>20</v>
      </c>
      <c r="B27" s="123" t="s">
        <v>162</v>
      </c>
      <c r="C27" s="558"/>
      <c r="D27" s="558">
        <f>D12-D20</f>
        <v>412633424</v>
      </c>
      <c r="E27" s="562"/>
      <c r="F27" s="290"/>
      <c r="G27" s="290"/>
      <c r="H27" s="291"/>
    </row>
    <row r="28" spans="1:8" s="22" customFormat="1" ht="21" customHeight="1">
      <c r="A28" s="118" t="s">
        <v>10</v>
      </c>
      <c r="B28" s="124" t="s">
        <v>156</v>
      </c>
      <c r="C28" s="563"/>
      <c r="D28" s="563"/>
      <c r="E28" s="562"/>
      <c r="F28" s="295"/>
      <c r="G28" s="295"/>
      <c r="H28" s="292"/>
    </row>
    <row r="29" spans="1:8" s="22" customFormat="1" ht="21" customHeight="1">
      <c r="A29" s="118" t="s">
        <v>18</v>
      </c>
      <c r="B29" s="119" t="s">
        <v>145</v>
      </c>
      <c r="C29" s="558">
        <f>C30+C31+C34+C35</f>
        <v>103657800000</v>
      </c>
      <c r="D29" s="558">
        <f>D30+D31+D34+D35</f>
        <v>134093120127</v>
      </c>
      <c r="E29" s="559">
        <f t="shared" si="0"/>
        <v>1.2936134099604661</v>
      </c>
      <c r="F29" s="297"/>
      <c r="H29" s="292"/>
    </row>
    <row r="30" spans="1:8" s="9" customFormat="1" ht="21" customHeight="1">
      <c r="A30" s="120">
        <v>1</v>
      </c>
      <c r="B30" s="32" t="s">
        <v>146</v>
      </c>
      <c r="C30" s="561">
        <v>8252000000</v>
      </c>
      <c r="D30" s="561">
        <v>6938013021</v>
      </c>
      <c r="E30" s="562">
        <f t="shared" si="0"/>
        <v>0.8407674528599127</v>
      </c>
      <c r="F30" s="238"/>
      <c r="G30" s="238"/>
      <c r="H30" s="289"/>
    </row>
    <row r="31" spans="1:8" s="9" customFormat="1" ht="21" customHeight="1">
      <c r="A31" s="121">
        <f>A30+1</f>
        <v>2</v>
      </c>
      <c r="B31" s="32" t="s">
        <v>36</v>
      </c>
      <c r="C31" s="560">
        <f>C32+C33</f>
        <v>95405800000</v>
      </c>
      <c r="D31" s="561">
        <f>D32+D33</f>
        <v>120798698262</v>
      </c>
      <c r="E31" s="562">
        <f t="shared" si="0"/>
        <v>1.2661567563187983</v>
      </c>
      <c r="F31" s="238"/>
      <c r="G31" s="238"/>
      <c r="H31" s="289"/>
    </row>
    <row r="32" spans="1:8" s="9" customFormat="1" ht="21" customHeight="1">
      <c r="A32" s="120" t="s">
        <v>15</v>
      </c>
      <c r="B32" s="32" t="s">
        <v>72</v>
      </c>
      <c r="C32" s="561">
        <v>81470000000</v>
      </c>
      <c r="D32" s="561">
        <f>D23</f>
        <v>81470000000</v>
      </c>
      <c r="E32" s="562">
        <f t="shared" si="0"/>
        <v>1</v>
      </c>
      <c r="F32" s="238"/>
      <c r="G32" s="238"/>
      <c r="H32" s="289"/>
    </row>
    <row r="33" spans="1:8" s="9" customFormat="1" ht="21" customHeight="1">
      <c r="A33" s="120" t="s">
        <v>15</v>
      </c>
      <c r="B33" s="32" t="s">
        <v>80</v>
      </c>
      <c r="C33" s="561">
        <v>13935800000</v>
      </c>
      <c r="D33" s="561">
        <f>D24</f>
        <v>39328698262</v>
      </c>
      <c r="E33" s="562">
        <f t="shared" si="0"/>
        <v>2.822134234274315</v>
      </c>
      <c r="F33" s="238"/>
      <c r="G33" s="238"/>
      <c r="H33" s="289"/>
    </row>
    <row r="34" spans="1:8" s="9" customFormat="1" ht="21" customHeight="1">
      <c r="A34" s="121">
        <f>A31+1</f>
        <v>3</v>
      </c>
      <c r="B34" s="32" t="s">
        <v>34</v>
      </c>
      <c r="C34" s="561"/>
      <c r="D34" s="561"/>
      <c r="E34" s="562"/>
      <c r="F34" s="238"/>
      <c r="G34" s="238"/>
      <c r="H34" s="289"/>
    </row>
    <row r="35" spans="1:8" s="9" customFormat="1" ht="21" customHeight="1">
      <c r="A35" s="121">
        <f>A34+1</f>
        <v>4</v>
      </c>
      <c r="B35" s="32" t="s">
        <v>68</v>
      </c>
      <c r="C35" s="561"/>
      <c r="D35" s="561">
        <v>6356408844</v>
      </c>
      <c r="E35" s="562"/>
      <c r="F35" s="238"/>
      <c r="G35" s="238"/>
      <c r="H35" s="289"/>
    </row>
    <row r="36" spans="1:8" s="11" customFormat="1" ht="21" customHeight="1">
      <c r="A36" s="118" t="s">
        <v>19</v>
      </c>
      <c r="B36" s="119" t="s">
        <v>150</v>
      </c>
      <c r="C36" s="557">
        <f>C37+C39+C38</f>
        <v>103657800000</v>
      </c>
      <c r="D36" s="558">
        <f>D37+D39+D38</f>
        <v>134093120127</v>
      </c>
      <c r="E36" s="559">
        <f t="shared" si="0"/>
        <v>1.2936134099604661</v>
      </c>
      <c r="F36" s="290"/>
      <c r="G36" s="290"/>
      <c r="H36" s="291"/>
    </row>
    <row r="37" spans="1:8" s="9" customFormat="1" ht="21" customHeight="1">
      <c r="A37" s="120">
        <v>1</v>
      </c>
      <c r="B37" s="32" t="s">
        <v>157</v>
      </c>
      <c r="C37" s="561">
        <v>103657800000</v>
      </c>
      <c r="D37" s="561">
        <v>125155447049</v>
      </c>
      <c r="E37" s="562">
        <f t="shared" si="0"/>
        <v>1.2073905393419502</v>
      </c>
      <c r="F37" s="238"/>
      <c r="G37" s="238"/>
      <c r="H37" s="289"/>
    </row>
    <row r="38" spans="1:8" s="9" customFormat="1" ht="21" customHeight="1">
      <c r="A38" s="121">
        <v>2</v>
      </c>
      <c r="B38" s="32" t="s">
        <v>365</v>
      </c>
      <c r="C38" s="561"/>
      <c r="D38" s="561">
        <f>809255894-99852129</f>
        <v>709403765</v>
      </c>
      <c r="E38" s="562"/>
      <c r="F38" s="238"/>
      <c r="G38" s="238"/>
      <c r="H38" s="289"/>
    </row>
    <row r="39" spans="1:8" s="9" customFormat="1" ht="21" customHeight="1">
      <c r="A39" s="121">
        <v>3</v>
      </c>
      <c r="B39" s="32" t="s">
        <v>67</v>
      </c>
      <c r="C39" s="561"/>
      <c r="D39" s="561">
        <v>8228269313</v>
      </c>
      <c r="E39" s="562"/>
      <c r="F39" s="238"/>
      <c r="G39" s="238"/>
      <c r="H39" s="289"/>
    </row>
    <row r="40" spans="1:8" s="11" customFormat="1" ht="21" customHeight="1">
      <c r="A40" s="126" t="s">
        <v>20</v>
      </c>
      <c r="B40" s="127" t="s">
        <v>154</v>
      </c>
      <c r="C40" s="564"/>
      <c r="D40" s="564">
        <f>D29-D36</f>
        <v>0</v>
      </c>
      <c r="E40" s="565"/>
      <c r="F40" s="290"/>
      <c r="G40" s="290"/>
      <c r="H40" s="291"/>
    </row>
    <row r="41" spans="3:5" ht="25.5" customHeight="1">
      <c r="C41" s="9"/>
      <c r="D41" s="22"/>
      <c r="E41" s="9"/>
    </row>
    <row r="42" spans="2:5" ht="20.25" customHeight="1">
      <c r="B42" s="259"/>
      <c r="C42" s="9"/>
      <c r="D42" s="22"/>
      <c r="E42" s="9"/>
    </row>
    <row r="43" spans="1:5" ht="11.25" customHeight="1">
      <c r="A43" s="9"/>
      <c r="B43" s="9"/>
      <c r="C43" s="9"/>
      <c r="D43" s="22"/>
      <c r="E43" s="9"/>
    </row>
    <row r="44" spans="1:5" ht="18.75">
      <c r="A44" s="9"/>
      <c r="B44" s="9"/>
      <c r="C44" s="9"/>
      <c r="D44" s="22"/>
      <c r="E44" s="9"/>
    </row>
    <row r="45" spans="1:5" ht="18.75">
      <c r="A45" s="9"/>
      <c r="B45" s="9"/>
      <c r="C45" s="9"/>
      <c r="D45" s="22"/>
      <c r="E45" s="9"/>
    </row>
    <row r="46" spans="1:5" ht="18.75">
      <c r="A46" s="9"/>
      <c r="B46" s="9"/>
      <c r="C46" s="9"/>
      <c r="D46" s="22"/>
      <c r="E46" s="9"/>
    </row>
    <row r="47" spans="1:5" ht="18.75">
      <c r="A47" s="9"/>
      <c r="B47" s="9"/>
      <c r="C47" s="9"/>
      <c r="D47" s="22"/>
      <c r="E47" s="9"/>
    </row>
    <row r="48" spans="1:5" ht="18.75">
      <c r="A48" s="9"/>
      <c r="B48" s="9"/>
      <c r="C48" s="9"/>
      <c r="D48" s="22"/>
      <c r="E48" s="9"/>
    </row>
    <row r="49" spans="1:5" ht="18.75">
      <c r="A49" s="9"/>
      <c r="B49" s="9"/>
      <c r="C49" s="9"/>
      <c r="D49" s="22"/>
      <c r="E49" s="9"/>
    </row>
    <row r="50" spans="1:5" ht="18.75">
      <c r="A50" s="9"/>
      <c r="B50" s="9"/>
      <c r="C50" s="9"/>
      <c r="D50" s="22"/>
      <c r="E50" s="9"/>
    </row>
    <row r="51" spans="1:5" ht="22.5" customHeight="1">
      <c r="A51" s="9"/>
      <c r="B51" s="9"/>
      <c r="C51" s="9"/>
      <c r="D51" s="22"/>
      <c r="E51" s="9"/>
    </row>
    <row r="52" spans="1:5" ht="18.75">
      <c r="A52" s="9"/>
      <c r="B52" s="9"/>
      <c r="C52" s="9"/>
      <c r="D52" s="22"/>
      <c r="E52" s="9"/>
    </row>
    <row r="53" spans="1:5" ht="18.75">
      <c r="A53" s="9"/>
      <c r="B53" s="9"/>
      <c r="C53" s="9"/>
      <c r="D53" s="22"/>
      <c r="E53" s="9"/>
    </row>
    <row r="54" spans="1:5" ht="18.75">
      <c r="A54" s="9"/>
      <c r="B54" s="9"/>
      <c r="C54" s="9"/>
      <c r="D54" s="22"/>
      <c r="E54" s="9"/>
    </row>
    <row r="55" spans="1:5" ht="18.75">
      <c r="A55" s="9"/>
      <c r="B55" s="9"/>
      <c r="C55" s="9"/>
      <c r="D55" s="22"/>
      <c r="E55" s="9"/>
    </row>
  </sheetData>
  <sheetProtection/>
  <mergeCells count="7">
    <mergeCell ref="D1:E1"/>
    <mergeCell ref="D6:E6"/>
    <mergeCell ref="A7:A9"/>
    <mergeCell ref="B7:B9"/>
    <mergeCell ref="C7:C9"/>
    <mergeCell ref="D7:D9"/>
    <mergeCell ref="E7:E8"/>
  </mergeCells>
  <printOptions/>
  <pageMargins left="0.83" right="0.25" top="0.47" bottom="0.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56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34" sqref="E34"/>
    </sheetView>
  </sheetViews>
  <sheetFormatPr defaultColWidth="8.796875" defaultRowHeight="15"/>
  <cols>
    <col min="1" max="1" width="5.3984375" style="200" customWidth="1"/>
    <col min="2" max="2" width="46.8984375" style="200" customWidth="1"/>
    <col min="3" max="4" width="14.8984375" style="200" customWidth="1"/>
    <col min="5" max="5" width="15" style="200" customWidth="1"/>
    <col min="6" max="6" width="14.09765625" style="200" customWidth="1"/>
    <col min="7" max="7" width="9.296875" style="200" customWidth="1"/>
    <col min="8" max="8" width="8.3984375" style="200" customWidth="1"/>
    <col min="9" max="9" width="7.3984375" style="200" customWidth="1"/>
    <col min="10" max="10" width="13" style="488" hidden="1" customWidth="1"/>
    <col min="11" max="11" width="13.796875" style="488" hidden="1" customWidth="1"/>
    <col min="12" max="12" width="13.09765625" style="200" customWidth="1"/>
    <col min="13" max="16384" width="9" style="200" customWidth="1"/>
  </cols>
  <sheetData>
    <row r="1" spans="1:9" ht="21" customHeight="1">
      <c r="A1" s="196"/>
      <c r="B1" s="196"/>
      <c r="C1" s="197"/>
      <c r="D1" s="197"/>
      <c r="E1" s="197"/>
      <c r="F1" s="197"/>
      <c r="G1" s="198"/>
      <c r="H1" s="199" t="s">
        <v>122</v>
      </c>
      <c r="I1" s="199"/>
    </row>
    <row r="2" spans="1:9" ht="21" customHeight="1">
      <c r="A2" s="198" t="s">
        <v>512</v>
      </c>
      <c r="B2" s="198"/>
      <c r="C2" s="201"/>
      <c r="D2" s="201"/>
      <c r="E2" s="201"/>
      <c r="F2" s="201"/>
      <c r="G2" s="201"/>
      <c r="H2" s="201"/>
      <c r="I2" s="201"/>
    </row>
    <row r="3" spans="1:9" ht="21" customHeight="1">
      <c r="A3" s="489" t="str">
        <f>'Biểu 48'!A3</f>
        <v>(Kèm theo Nghị quyết số          /2019/NQ-HĐND ngày         /      /2019 của HĐND huyện Tuần Giáo)</v>
      </c>
      <c r="B3" s="198"/>
      <c r="C3" s="197"/>
      <c r="D3" s="197"/>
      <c r="E3" s="197"/>
      <c r="F3" s="197"/>
      <c r="G3" s="197"/>
      <c r="H3" s="197"/>
      <c r="I3" s="197"/>
    </row>
    <row r="4" spans="1:9" ht="19.5" customHeight="1">
      <c r="A4" s="202"/>
      <c r="B4" s="202"/>
      <c r="C4" s="203"/>
      <c r="D4" s="203"/>
      <c r="E4" s="203"/>
      <c r="F4" s="203"/>
      <c r="G4" s="211"/>
      <c r="H4" s="490" t="s">
        <v>276</v>
      </c>
      <c r="I4" s="490"/>
    </row>
    <row r="5" spans="1:11" s="204" customFormat="1" ht="10.5" customHeight="1">
      <c r="A5" s="610" t="s">
        <v>61</v>
      </c>
      <c r="B5" s="610" t="s">
        <v>5</v>
      </c>
      <c r="C5" s="606" t="s">
        <v>6</v>
      </c>
      <c r="D5" s="607"/>
      <c r="E5" s="606" t="s">
        <v>60</v>
      </c>
      <c r="F5" s="607"/>
      <c r="G5" s="606" t="s">
        <v>87</v>
      </c>
      <c r="H5" s="607"/>
      <c r="I5" s="491"/>
      <c r="J5" s="488"/>
      <c r="K5" s="488"/>
    </row>
    <row r="6" spans="1:11" s="204" customFormat="1" ht="6" customHeight="1">
      <c r="A6" s="605"/>
      <c r="B6" s="605"/>
      <c r="C6" s="608"/>
      <c r="D6" s="609"/>
      <c r="E6" s="608"/>
      <c r="F6" s="609"/>
      <c r="G6" s="608"/>
      <c r="H6" s="609"/>
      <c r="I6" s="491"/>
      <c r="J6" s="488"/>
      <c r="K6" s="488"/>
    </row>
    <row r="7" spans="1:11" s="204" customFormat="1" ht="19.5" customHeight="1">
      <c r="A7" s="605"/>
      <c r="B7" s="605"/>
      <c r="C7" s="492" t="s">
        <v>7</v>
      </c>
      <c r="D7" s="492" t="s">
        <v>3</v>
      </c>
      <c r="E7" s="492" t="s">
        <v>7</v>
      </c>
      <c r="F7" s="492" t="s">
        <v>3</v>
      </c>
      <c r="G7" s="492" t="s">
        <v>7</v>
      </c>
      <c r="H7" s="492" t="s">
        <v>3</v>
      </c>
      <c r="I7" s="491"/>
      <c r="J7" s="488" t="s">
        <v>636</v>
      </c>
      <c r="K7" s="488"/>
    </row>
    <row r="8" spans="1:12" s="204" customFormat="1" ht="19.5" customHeight="1">
      <c r="A8" s="603"/>
      <c r="B8" s="603"/>
      <c r="C8" s="493" t="s">
        <v>4</v>
      </c>
      <c r="D8" s="493" t="s">
        <v>8</v>
      </c>
      <c r="E8" s="493" t="s">
        <v>4</v>
      </c>
      <c r="F8" s="493" t="s">
        <v>8</v>
      </c>
      <c r="G8" s="493" t="s">
        <v>4</v>
      </c>
      <c r="H8" s="493" t="s">
        <v>8</v>
      </c>
      <c r="I8" s="491"/>
      <c r="J8" s="494"/>
      <c r="K8" s="494">
        <f>'Biểu 49'!D31</f>
        <v>120798698262</v>
      </c>
      <c r="L8" s="494"/>
    </row>
    <row r="9" spans="1:11" s="498" customFormat="1" ht="17.25" customHeight="1">
      <c r="A9" s="495" t="s">
        <v>9</v>
      </c>
      <c r="B9" s="496" t="s">
        <v>10</v>
      </c>
      <c r="C9" s="495">
        <v>1</v>
      </c>
      <c r="D9" s="495">
        <f>C9+1</f>
        <v>2</v>
      </c>
      <c r="E9" s="495">
        <f>D9+1</f>
        <v>3</v>
      </c>
      <c r="F9" s="495">
        <f>E9+1</f>
        <v>4</v>
      </c>
      <c r="G9" s="495" t="s">
        <v>64</v>
      </c>
      <c r="H9" s="495" t="s">
        <v>65</v>
      </c>
      <c r="I9" s="497"/>
      <c r="J9" s="494">
        <f>'[6]61'!$H$7+'[6]61'!$I$7</f>
        <v>891700106029</v>
      </c>
      <c r="K9" s="494">
        <f>J9-F10</f>
        <v>120798698262</v>
      </c>
    </row>
    <row r="10" spans="1:11" s="203" customFormat="1" ht="21.75" customHeight="1">
      <c r="A10" s="499"/>
      <c r="B10" s="500" t="s">
        <v>323</v>
      </c>
      <c r="C10" s="501">
        <f>C11+C48+C55+C56</f>
        <v>681348000000</v>
      </c>
      <c r="D10" s="501">
        <f>D11+D48+D55+D56</f>
        <v>679098000000</v>
      </c>
      <c r="E10" s="501">
        <f>E11+E48+E55+E56</f>
        <v>900632453171</v>
      </c>
      <c r="F10" s="501">
        <f>F11+F48+F55+F56</f>
        <v>770901407767</v>
      </c>
      <c r="G10" s="502">
        <f aca="true" t="shared" si="0" ref="G10:H12">E10/C10</f>
        <v>1.3218391382538732</v>
      </c>
      <c r="H10" s="502">
        <f t="shared" si="0"/>
        <v>1.1351843294590767</v>
      </c>
      <c r="I10" s="503"/>
      <c r="J10" s="494">
        <f>'[6]61'!$E$7</f>
        <v>900632453171</v>
      </c>
      <c r="K10" s="494">
        <f>E10-J10</f>
        <v>0</v>
      </c>
    </row>
    <row r="11" spans="1:11" s="203" customFormat="1" ht="20.25" customHeight="1">
      <c r="A11" s="504" t="s">
        <v>9</v>
      </c>
      <c r="B11" s="505" t="s">
        <v>324</v>
      </c>
      <c r="C11" s="506">
        <f>C12</f>
        <v>49500000000</v>
      </c>
      <c r="D11" s="506">
        <f>D12</f>
        <v>47250000000</v>
      </c>
      <c r="E11" s="506">
        <f>E12</f>
        <v>61514689509</v>
      </c>
      <c r="F11" s="506">
        <f>F12</f>
        <v>58156396227</v>
      </c>
      <c r="G11" s="502">
        <f t="shared" si="0"/>
        <v>1.242721000181818</v>
      </c>
      <c r="H11" s="502">
        <f t="shared" si="0"/>
        <v>1.2308232005714286</v>
      </c>
      <c r="I11" s="503"/>
      <c r="J11" s="494">
        <f>'[4]61'!$E$8</f>
        <v>61514689509</v>
      </c>
      <c r="K11" s="494">
        <f>E11-J11</f>
        <v>0</v>
      </c>
    </row>
    <row r="12" spans="1:11" s="203" customFormat="1" ht="21" customHeight="1">
      <c r="A12" s="504" t="s">
        <v>18</v>
      </c>
      <c r="B12" s="505" t="s">
        <v>11</v>
      </c>
      <c r="C12" s="506">
        <f>C13+C17+C21+C22+C23+C24+C30+C35+C36+C46+C47</f>
        <v>49500000000</v>
      </c>
      <c r="D12" s="506">
        <f>D13+D17+D21+D22+D23+D24+D30+D35+D36+D46+D47</f>
        <v>47250000000</v>
      </c>
      <c r="E12" s="506">
        <f>E13+E17+E21+E22+E23+E24+E30+E35+E36+E46+E47</f>
        <v>61514689509</v>
      </c>
      <c r="F12" s="506">
        <f>F13+F17+F21+F22+F23+F24+F30+F35+F36+F46+F47</f>
        <v>58156396227</v>
      </c>
      <c r="G12" s="502">
        <f t="shared" si="0"/>
        <v>1.242721000181818</v>
      </c>
      <c r="H12" s="502">
        <f t="shared" si="0"/>
        <v>1.2308232005714286</v>
      </c>
      <c r="I12" s="503"/>
      <c r="J12" s="488"/>
      <c r="K12" s="488"/>
    </row>
    <row r="13" spans="1:11" s="203" customFormat="1" ht="16.5" customHeight="1">
      <c r="A13" s="504">
        <v>1</v>
      </c>
      <c r="B13" s="505" t="s">
        <v>325</v>
      </c>
      <c r="C13" s="506">
        <f>SUM(C14:C16)</f>
        <v>0</v>
      </c>
      <c r="D13" s="506">
        <f>SUM(D14:D16)</f>
        <v>0</v>
      </c>
      <c r="E13" s="506">
        <f>SUM(E14:E16)</f>
        <v>206888643</v>
      </c>
      <c r="F13" s="506">
        <f>SUM(F14:F16)</f>
        <v>206888643</v>
      </c>
      <c r="G13" s="502"/>
      <c r="H13" s="502"/>
      <c r="I13" s="503"/>
      <c r="J13" s="488"/>
      <c r="K13" s="488"/>
    </row>
    <row r="14" spans="1:11" s="203" customFormat="1" ht="16.5" customHeight="1">
      <c r="A14" s="507"/>
      <c r="B14" s="262" t="s">
        <v>158</v>
      </c>
      <c r="C14" s="508"/>
      <c r="D14" s="508"/>
      <c r="E14" s="508">
        <v>77580259</v>
      </c>
      <c r="F14" s="508">
        <v>77580259</v>
      </c>
      <c r="G14" s="502"/>
      <c r="H14" s="502"/>
      <c r="I14" s="503"/>
      <c r="J14" s="488"/>
      <c r="K14" s="488"/>
    </row>
    <row r="15" spans="1:11" s="203" customFormat="1" ht="16.5" customHeight="1">
      <c r="A15" s="507"/>
      <c r="B15" s="262" t="s">
        <v>159</v>
      </c>
      <c r="C15" s="508"/>
      <c r="D15" s="508"/>
      <c r="E15" s="508">
        <v>113275017</v>
      </c>
      <c r="F15" s="508">
        <v>113275017</v>
      </c>
      <c r="G15" s="502"/>
      <c r="H15" s="502"/>
      <c r="I15" s="503"/>
      <c r="J15" s="488"/>
      <c r="K15" s="488"/>
    </row>
    <row r="16" spans="1:11" s="203" customFormat="1" ht="16.5" customHeight="1">
      <c r="A16" s="507"/>
      <c r="B16" s="262" t="s">
        <v>160</v>
      </c>
      <c r="C16" s="508"/>
      <c r="D16" s="508"/>
      <c r="E16" s="508">
        <v>16033367</v>
      </c>
      <c r="F16" s="508">
        <v>16033367</v>
      </c>
      <c r="G16" s="502"/>
      <c r="H16" s="502"/>
      <c r="I16" s="503"/>
      <c r="J16" s="488"/>
      <c r="K16" s="488"/>
    </row>
    <row r="17" spans="1:11" s="203" customFormat="1" ht="16.5" customHeight="1">
      <c r="A17" s="504">
        <v>2</v>
      </c>
      <c r="B17" s="505" t="s">
        <v>326</v>
      </c>
      <c r="C17" s="506">
        <f>SUM(C18:C20)</f>
        <v>18400000000</v>
      </c>
      <c r="D17" s="506">
        <f>SUM(D18:D20)</f>
        <v>18400000000</v>
      </c>
      <c r="E17" s="506">
        <f>SUM(E18:E20)</f>
        <v>25737772735</v>
      </c>
      <c r="F17" s="506">
        <f>SUM(F18:F20)</f>
        <v>25737772735</v>
      </c>
      <c r="G17" s="502">
        <f aca="true" t="shared" si="1" ref="G17:H20">E17/C17</f>
        <v>1.3987919964673914</v>
      </c>
      <c r="H17" s="502">
        <f t="shared" si="1"/>
        <v>1.3987919964673914</v>
      </c>
      <c r="I17" s="503"/>
      <c r="J17" s="494">
        <f>'[4]61'!$E$14</f>
        <v>25737772735</v>
      </c>
      <c r="K17" s="494">
        <f>E17-J17</f>
        <v>0</v>
      </c>
    </row>
    <row r="18" spans="1:11" s="203" customFormat="1" ht="16.5" customHeight="1">
      <c r="A18" s="507"/>
      <c r="B18" s="262" t="s">
        <v>158</v>
      </c>
      <c r="C18" s="508">
        <v>11000000000</v>
      </c>
      <c r="D18" s="508">
        <v>11000000000</v>
      </c>
      <c r="E18" s="508">
        <v>11676745417</v>
      </c>
      <c r="F18" s="508">
        <v>11676745417</v>
      </c>
      <c r="G18" s="509">
        <f t="shared" si="1"/>
        <v>1.0615223106363636</v>
      </c>
      <c r="H18" s="509">
        <f t="shared" si="1"/>
        <v>1.0615223106363636</v>
      </c>
      <c r="I18" s="503"/>
      <c r="J18" s="488"/>
      <c r="K18" s="488"/>
    </row>
    <row r="19" spans="1:11" s="203" customFormat="1" ht="16.5" customHeight="1">
      <c r="A19" s="507"/>
      <c r="B19" s="262" t="s">
        <v>159</v>
      </c>
      <c r="C19" s="508">
        <v>900000000</v>
      </c>
      <c r="D19" s="508">
        <v>900000000</v>
      </c>
      <c r="E19" s="508">
        <v>1132099492</v>
      </c>
      <c r="F19" s="508">
        <v>1132099492</v>
      </c>
      <c r="G19" s="509">
        <f t="shared" si="1"/>
        <v>1.2578883244444445</v>
      </c>
      <c r="H19" s="509">
        <f t="shared" si="1"/>
        <v>1.2578883244444445</v>
      </c>
      <c r="I19" s="503"/>
      <c r="J19" s="488"/>
      <c r="K19" s="488"/>
    </row>
    <row r="20" spans="1:11" s="203" customFormat="1" ht="16.5" customHeight="1">
      <c r="A20" s="507"/>
      <c r="B20" s="262" t="s">
        <v>160</v>
      </c>
      <c r="C20" s="508">
        <v>6500000000</v>
      </c>
      <c r="D20" s="508">
        <v>6500000000</v>
      </c>
      <c r="E20" s="508">
        <v>12928927826</v>
      </c>
      <c r="F20" s="508">
        <v>12928927826</v>
      </c>
      <c r="G20" s="509">
        <f t="shared" si="1"/>
        <v>1.9890658193846154</v>
      </c>
      <c r="H20" s="509">
        <f t="shared" si="1"/>
        <v>1.9890658193846154</v>
      </c>
      <c r="I20" s="503"/>
      <c r="J20" s="488"/>
      <c r="K20" s="488"/>
    </row>
    <row r="21" spans="1:11" s="203" customFormat="1" ht="16.5" customHeight="1">
      <c r="A21" s="504">
        <v>3</v>
      </c>
      <c r="B21" s="505" t="s">
        <v>12</v>
      </c>
      <c r="C21" s="506">
        <v>4500000000</v>
      </c>
      <c r="D21" s="506">
        <v>4500000000</v>
      </c>
      <c r="E21" s="592">
        <f>4850182227+772920</f>
        <v>4850955147</v>
      </c>
      <c r="F21" s="592">
        <f>4850182227+772920</f>
        <v>4850955147</v>
      </c>
      <c r="G21" s="502">
        <f aca="true" t="shared" si="2" ref="G21:H24">E21/C21</f>
        <v>1.0779900326666667</v>
      </c>
      <c r="H21" s="502">
        <f t="shared" si="2"/>
        <v>1.0779900326666667</v>
      </c>
      <c r="I21" s="503"/>
      <c r="J21" s="494">
        <f>'[4]61'!$E$18</f>
        <v>4850182227</v>
      </c>
      <c r="K21" s="494">
        <f>E21-J21</f>
        <v>772920</v>
      </c>
    </row>
    <row r="22" spans="1:11" s="203" customFormat="1" ht="16.5" customHeight="1">
      <c r="A22" s="504">
        <v>7</v>
      </c>
      <c r="B22" s="505" t="s">
        <v>13</v>
      </c>
      <c r="C22" s="506">
        <v>50000000</v>
      </c>
      <c r="D22" s="506">
        <v>50000000</v>
      </c>
      <c r="E22" s="506">
        <v>95825811</v>
      </c>
      <c r="F22" s="506">
        <v>95825811</v>
      </c>
      <c r="G22" s="502">
        <f t="shared" si="2"/>
        <v>1.91651622</v>
      </c>
      <c r="H22" s="502">
        <f t="shared" si="2"/>
        <v>1.91651622</v>
      </c>
      <c r="I22" s="503"/>
      <c r="J22" s="494">
        <f>'[4]61'!$E$19</f>
        <v>95825811</v>
      </c>
      <c r="K22" s="494">
        <f>E22-J22</f>
        <v>0</v>
      </c>
    </row>
    <row r="23" spans="1:11" s="203" customFormat="1" ht="16.5" customHeight="1">
      <c r="A23" s="504">
        <v>5</v>
      </c>
      <c r="B23" s="505" t="s">
        <v>14</v>
      </c>
      <c r="C23" s="506">
        <v>2100000000</v>
      </c>
      <c r="D23" s="506">
        <v>2100000000</v>
      </c>
      <c r="E23" s="506">
        <v>1745919552</v>
      </c>
      <c r="F23" s="506">
        <v>1745919552</v>
      </c>
      <c r="G23" s="502">
        <f t="shared" si="2"/>
        <v>0.8313902628571429</v>
      </c>
      <c r="H23" s="502">
        <f t="shared" si="2"/>
        <v>0.8313902628571429</v>
      </c>
      <c r="I23" s="503"/>
      <c r="J23" s="494">
        <f>'[4]61'!$E$20</f>
        <v>1745919552</v>
      </c>
      <c r="K23" s="494">
        <f>E23-J23</f>
        <v>0</v>
      </c>
    </row>
    <row r="24" spans="1:11" s="203" customFormat="1" ht="16.5" customHeight="1">
      <c r="A24" s="504">
        <v>6</v>
      </c>
      <c r="B24" s="505" t="s">
        <v>327</v>
      </c>
      <c r="C24" s="506">
        <v>950000000</v>
      </c>
      <c r="D24" s="506">
        <v>950000000</v>
      </c>
      <c r="E24" s="506">
        <f>E25+E26+E27</f>
        <v>1843557353</v>
      </c>
      <c r="F24" s="506">
        <f>F25+F26+F27</f>
        <v>1781956384</v>
      </c>
      <c r="G24" s="502">
        <f t="shared" si="2"/>
        <v>1.940586687368421</v>
      </c>
      <c r="H24" s="502">
        <f t="shared" si="2"/>
        <v>1.8757435621052632</v>
      </c>
      <c r="I24" s="503"/>
      <c r="J24" s="494">
        <f>'[4]61'!$E$21</f>
        <v>1843557353</v>
      </c>
      <c r="K24" s="494">
        <f>E24-J24</f>
        <v>0</v>
      </c>
    </row>
    <row r="25" spans="1:11" s="203" customFormat="1" ht="16.5" customHeight="1">
      <c r="A25" s="507"/>
      <c r="B25" s="262" t="s">
        <v>328</v>
      </c>
      <c r="C25" s="508"/>
      <c r="D25" s="508"/>
      <c r="E25" s="508">
        <v>61600969</v>
      </c>
      <c r="F25" s="212"/>
      <c r="G25" s="502"/>
      <c r="H25" s="502"/>
      <c r="I25" s="503"/>
      <c r="J25" s="488"/>
      <c r="K25" s="488"/>
    </row>
    <row r="26" spans="1:11" s="203" customFormat="1" ht="16.5" customHeight="1">
      <c r="A26" s="507"/>
      <c r="B26" s="262" t="s">
        <v>329</v>
      </c>
      <c r="C26" s="508"/>
      <c r="D26" s="508"/>
      <c r="E26" s="508">
        <v>1144931867</v>
      </c>
      <c r="F26" s="508">
        <v>1144931867</v>
      </c>
      <c r="G26" s="502"/>
      <c r="H26" s="502"/>
      <c r="I26" s="503"/>
      <c r="J26" s="488"/>
      <c r="K26" s="488"/>
    </row>
    <row r="27" spans="1:11" s="203" customFormat="1" ht="16.5" customHeight="1">
      <c r="A27" s="507"/>
      <c r="B27" s="262" t="s">
        <v>354</v>
      </c>
      <c r="C27" s="508"/>
      <c r="D27" s="508"/>
      <c r="E27" s="508">
        <v>637024517</v>
      </c>
      <c r="F27" s="508">
        <v>637024517</v>
      </c>
      <c r="G27" s="502"/>
      <c r="H27" s="502"/>
      <c r="I27" s="503"/>
      <c r="J27" s="488"/>
      <c r="K27" s="488"/>
    </row>
    <row r="28" spans="1:11" s="203" customFormat="1" ht="16.5" customHeight="1">
      <c r="A28" s="507"/>
      <c r="B28" s="262" t="s">
        <v>330</v>
      </c>
      <c r="C28" s="508">
        <v>300000000</v>
      </c>
      <c r="D28" s="508">
        <v>300000000</v>
      </c>
      <c r="E28" s="508">
        <v>781468000</v>
      </c>
      <c r="F28" s="508">
        <v>781468000</v>
      </c>
      <c r="G28" s="509">
        <f>E28/C28</f>
        <v>2.6048933333333335</v>
      </c>
      <c r="H28" s="509">
        <f>F28/D28</f>
        <v>2.6048933333333335</v>
      </c>
      <c r="I28" s="510"/>
      <c r="J28" s="488"/>
      <c r="K28" s="488"/>
    </row>
    <row r="29" spans="1:11" s="203" customFormat="1" ht="16.5" customHeight="1">
      <c r="A29" s="507"/>
      <c r="B29" s="262" t="s">
        <v>353</v>
      </c>
      <c r="C29" s="508">
        <v>200000000</v>
      </c>
      <c r="D29" s="508">
        <v>200000000</v>
      </c>
      <c r="E29" s="508">
        <v>220200000</v>
      </c>
      <c r="F29" s="508">
        <v>220200000</v>
      </c>
      <c r="G29" s="509">
        <f>E29/C29</f>
        <v>1.101</v>
      </c>
      <c r="H29" s="509">
        <f>F29/D29</f>
        <v>1.101</v>
      </c>
      <c r="I29" s="510"/>
      <c r="J29" s="488"/>
      <c r="K29" s="488"/>
    </row>
    <row r="30" spans="1:11" s="203" customFormat="1" ht="16.5" customHeight="1">
      <c r="A30" s="504">
        <v>7</v>
      </c>
      <c r="B30" s="505" t="s">
        <v>331</v>
      </c>
      <c r="C30" s="506">
        <f>C31+C32</f>
        <v>21000000000</v>
      </c>
      <c r="D30" s="506">
        <f>D31+D32</f>
        <v>20400000000</v>
      </c>
      <c r="E30" s="506">
        <f>E31+E32</f>
        <v>24607599680</v>
      </c>
      <c r="F30" s="506">
        <f>F31+F32</f>
        <v>22420295750</v>
      </c>
      <c r="G30" s="502">
        <f aca="true" t="shared" si="3" ref="G30:H32">E30/C30</f>
        <v>1.171790460952381</v>
      </c>
      <c r="H30" s="502">
        <f t="shared" si="3"/>
        <v>1.0990341053921568</v>
      </c>
      <c r="I30" s="503"/>
      <c r="J30" s="494">
        <f>'[4]61'!$E$27</f>
        <v>24608372600</v>
      </c>
      <c r="K30" s="494">
        <f>E30-J30</f>
        <v>-772920</v>
      </c>
    </row>
    <row r="31" spans="1:11" s="203" customFormat="1" ht="16.5" customHeight="1">
      <c r="A31" s="507"/>
      <c r="B31" s="262" t="s">
        <v>332</v>
      </c>
      <c r="C31" s="508">
        <v>20000000000</v>
      </c>
      <c r="D31" s="508">
        <v>20000000000</v>
      </c>
      <c r="E31" s="508">
        <v>21726049400</v>
      </c>
      <c r="F31" s="508">
        <v>21726049400</v>
      </c>
      <c r="G31" s="509">
        <f t="shared" si="3"/>
        <v>1.08630247</v>
      </c>
      <c r="H31" s="509">
        <f t="shared" si="3"/>
        <v>1.08630247</v>
      </c>
      <c r="I31" s="510"/>
      <c r="J31" s="488"/>
      <c r="K31" s="488"/>
    </row>
    <row r="32" spans="1:11" s="203" customFormat="1" ht="16.5" customHeight="1">
      <c r="A32" s="507"/>
      <c r="B32" s="262" t="s">
        <v>333</v>
      </c>
      <c r="C32" s="508">
        <f>C33+C34</f>
        <v>1000000000</v>
      </c>
      <c r="D32" s="508">
        <f>D33+D34</f>
        <v>400000000</v>
      </c>
      <c r="E32" s="508">
        <f>E33+E34</f>
        <v>2881550280</v>
      </c>
      <c r="F32" s="508">
        <f>F33+F34</f>
        <v>694246350</v>
      </c>
      <c r="G32" s="509">
        <f t="shared" si="3"/>
        <v>2.88155028</v>
      </c>
      <c r="H32" s="509">
        <f t="shared" si="3"/>
        <v>1.735615875</v>
      </c>
      <c r="I32" s="510"/>
      <c r="J32" s="488"/>
      <c r="K32" s="488"/>
    </row>
    <row r="33" spans="1:11" s="203" customFormat="1" ht="16.5" customHeight="1">
      <c r="A33" s="507"/>
      <c r="B33" s="262" t="s">
        <v>334</v>
      </c>
      <c r="C33" s="508">
        <v>600000000</v>
      </c>
      <c r="D33" s="508"/>
      <c r="E33" s="508">
        <v>2187303930</v>
      </c>
      <c r="F33" s="212"/>
      <c r="G33" s="509">
        <f>E33/C33</f>
        <v>3.64550655</v>
      </c>
      <c r="H33" s="509"/>
      <c r="I33" s="510"/>
      <c r="J33" s="488"/>
      <c r="K33" s="488"/>
    </row>
    <row r="34" spans="1:11" s="203" customFormat="1" ht="16.5" customHeight="1">
      <c r="A34" s="507"/>
      <c r="B34" s="262" t="s">
        <v>335</v>
      </c>
      <c r="C34" s="508">
        <v>400000000</v>
      </c>
      <c r="D34" s="508">
        <v>400000000</v>
      </c>
      <c r="E34" s="593">
        <f>695019270-772920</f>
        <v>694246350</v>
      </c>
      <c r="F34" s="593">
        <f>139003854-154584+556015416-618336</f>
        <v>694246350</v>
      </c>
      <c r="G34" s="509">
        <f>E34/C34</f>
        <v>1.735615875</v>
      </c>
      <c r="H34" s="509">
        <f>F34/D34</f>
        <v>1.735615875</v>
      </c>
      <c r="I34" s="510"/>
      <c r="J34" s="488"/>
      <c r="K34" s="488"/>
    </row>
    <row r="35" spans="1:11" s="203" customFormat="1" ht="16.5" customHeight="1">
      <c r="A35" s="504">
        <v>8</v>
      </c>
      <c r="B35" s="505" t="s">
        <v>336</v>
      </c>
      <c r="C35" s="508"/>
      <c r="D35" s="508"/>
      <c r="E35" s="508">
        <v>30000000</v>
      </c>
      <c r="F35" s="508">
        <v>30000000</v>
      </c>
      <c r="G35" s="509"/>
      <c r="H35" s="509"/>
      <c r="I35" s="503"/>
      <c r="J35" s="494">
        <f>'[4]61'!$E$32</f>
        <v>30000000</v>
      </c>
      <c r="K35" s="494">
        <f>E35-J35</f>
        <v>0</v>
      </c>
    </row>
    <row r="36" spans="1:11" ht="16.5" customHeight="1">
      <c r="A36" s="504">
        <v>9</v>
      </c>
      <c r="B36" s="505" t="s">
        <v>17</v>
      </c>
      <c r="C36" s="506">
        <f>C37+C40</f>
        <v>2150000000</v>
      </c>
      <c r="D36" s="506">
        <f>D37+D40</f>
        <v>500000000</v>
      </c>
      <c r="E36" s="506">
        <f>E37+E40</f>
        <v>2090658988</v>
      </c>
      <c r="F36" s="506">
        <f>F37+F40</f>
        <v>981270605</v>
      </c>
      <c r="G36" s="502">
        <f>E36/C36</f>
        <v>0.9723995293023255</v>
      </c>
      <c r="H36" s="502">
        <f>F36/D36</f>
        <v>1.96254121</v>
      </c>
      <c r="I36" s="503"/>
      <c r="J36" s="494">
        <f>'[4]61'!$E$33</f>
        <v>2090658988</v>
      </c>
      <c r="K36" s="494">
        <f>E36-J36</f>
        <v>0</v>
      </c>
    </row>
    <row r="37" spans="1:11" ht="16.5" customHeight="1">
      <c r="A37" s="262"/>
      <c r="B37" s="262" t="s">
        <v>337</v>
      </c>
      <c r="C37" s="508">
        <v>1650000000</v>
      </c>
      <c r="D37" s="508"/>
      <c r="E37" s="508">
        <v>919858183</v>
      </c>
      <c r="F37" s="511"/>
      <c r="G37" s="509">
        <f>E37/C37</f>
        <v>0.5574898078787879</v>
      </c>
      <c r="H37" s="509"/>
      <c r="I37" s="503"/>
      <c r="J37" s="494">
        <f>'[4]61'!$E$34</f>
        <v>919858183</v>
      </c>
      <c r="K37" s="494">
        <f>E37-J37</f>
        <v>0</v>
      </c>
    </row>
    <row r="38" spans="1:9" ht="16.5" customHeight="1">
      <c r="A38" s="262"/>
      <c r="B38" s="260" t="s">
        <v>518</v>
      </c>
      <c r="C38" s="508"/>
      <c r="D38" s="508"/>
      <c r="E38" s="508">
        <v>512675200</v>
      </c>
      <c r="F38" s="511"/>
      <c r="G38" s="509"/>
      <c r="H38" s="509"/>
      <c r="I38" s="503"/>
    </row>
    <row r="39" spans="1:9" ht="16.5" customHeight="1">
      <c r="A39" s="262"/>
      <c r="B39" s="261" t="s">
        <v>519</v>
      </c>
      <c r="C39" s="508"/>
      <c r="D39" s="508"/>
      <c r="E39" s="508">
        <v>152275383</v>
      </c>
      <c r="F39" s="511"/>
      <c r="G39" s="509"/>
      <c r="H39" s="509"/>
      <c r="I39" s="503"/>
    </row>
    <row r="40" spans="1:11" ht="16.5" customHeight="1">
      <c r="A40" s="262"/>
      <c r="B40" s="262" t="s">
        <v>338</v>
      </c>
      <c r="C40" s="508">
        <v>500000000</v>
      </c>
      <c r="D40" s="508">
        <v>500000000</v>
      </c>
      <c r="E40" s="508">
        <f>E41+E42+E44</f>
        <v>1170800805</v>
      </c>
      <c r="F40" s="508">
        <f>F41+F42+F44</f>
        <v>981270605</v>
      </c>
      <c r="G40" s="502">
        <f>E40/C40</f>
        <v>2.34160161</v>
      </c>
      <c r="H40" s="502">
        <f>F40/D40</f>
        <v>1.96254121</v>
      </c>
      <c r="I40" s="503"/>
      <c r="J40" s="494">
        <f>'[4]61'!$E$37</f>
        <v>1170800805</v>
      </c>
      <c r="K40" s="494">
        <f>E40-J40</f>
        <v>0</v>
      </c>
    </row>
    <row r="41" spans="1:9" ht="16.5" customHeight="1">
      <c r="A41" s="262"/>
      <c r="B41" s="262" t="s">
        <v>339</v>
      </c>
      <c r="C41" s="508"/>
      <c r="D41" s="508"/>
      <c r="E41" s="508">
        <v>189530200</v>
      </c>
      <c r="F41" s="511"/>
      <c r="G41" s="509"/>
      <c r="H41" s="509"/>
      <c r="I41" s="503"/>
    </row>
    <row r="42" spans="1:9" ht="16.5" customHeight="1">
      <c r="A42" s="262"/>
      <c r="B42" s="262" t="s">
        <v>340</v>
      </c>
      <c r="C42" s="508"/>
      <c r="D42" s="508"/>
      <c r="E42" s="508">
        <v>737406019</v>
      </c>
      <c r="F42" s="508">
        <v>737406019</v>
      </c>
      <c r="G42" s="509"/>
      <c r="H42" s="509"/>
      <c r="I42" s="503"/>
    </row>
    <row r="43" spans="1:9" ht="16.5" customHeight="1">
      <c r="A43" s="262"/>
      <c r="B43" s="262" t="s">
        <v>520</v>
      </c>
      <c r="C43" s="508"/>
      <c r="D43" s="508"/>
      <c r="E43" s="508">
        <v>595701767</v>
      </c>
      <c r="F43" s="508">
        <v>595701767</v>
      </c>
      <c r="G43" s="509"/>
      <c r="H43" s="509"/>
      <c r="I43" s="503"/>
    </row>
    <row r="44" spans="1:9" ht="16.5" customHeight="1">
      <c r="A44" s="262"/>
      <c r="B44" s="262" t="s">
        <v>341</v>
      </c>
      <c r="C44" s="508"/>
      <c r="D44" s="508"/>
      <c r="E44" s="508">
        <v>243864586</v>
      </c>
      <c r="F44" s="508">
        <v>243864586</v>
      </c>
      <c r="G44" s="509"/>
      <c r="H44" s="509"/>
      <c r="I44" s="503"/>
    </row>
    <row r="45" spans="1:9" ht="16.5" customHeight="1">
      <c r="A45" s="262"/>
      <c r="B45" s="262" t="s">
        <v>520</v>
      </c>
      <c r="C45" s="508"/>
      <c r="D45" s="508"/>
      <c r="E45" s="508">
        <v>192564586</v>
      </c>
      <c r="F45" s="508">
        <v>192564586</v>
      </c>
      <c r="G45" s="509"/>
      <c r="H45" s="509"/>
      <c r="I45" s="503"/>
    </row>
    <row r="46" spans="1:11" ht="16.5" customHeight="1">
      <c r="A46" s="504">
        <v>10</v>
      </c>
      <c r="B46" s="505" t="s">
        <v>16</v>
      </c>
      <c r="C46" s="506">
        <v>300000000</v>
      </c>
      <c r="D46" s="506">
        <v>300000000</v>
      </c>
      <c r="E46" s="506">
        <v>174500000</v>
      </c>
      <c r="F46" s="506">
        <v>174500000</v>
      </c>
      <c r="G46" s="502">
        <f>E46/C46</f>
        <v>0.5816666666666667</v>
      </c>
      <c r="H46" s="502">
        <f>F46/D46</f>
        <v>0.5816666666666667</v>
      </c>
      <c r="I46" s="503"/>
      <c r="J46" s="494">
        <f>'[4]61'!$E$43</f>
        <v>174500000</v>
      </c>
      <c r="K46" s="494">
        <f>E46-J46</f>
        <v>0</v>
      </c>
    </row>
    <row r="47" spans="1:11" ht="16.5" customHeight="1">
      <c r="A47" s="504">
        <v>11</v>
      </c>
      <c r="B47" s="505" t="s">
        <v>342</v>
      </c>
      <c r="C47" s="506">
        <v>50000000</v>
      </c>
      <c r="D47" s="506">
        <v>50000000</v>
      </c>
      <c r="E47" s="506">
        <v>131011600</v>
      </c>
      <c r="F47" s="506">
        <v>131011600</v>
      </c>
      <c r="G47" s="502">
        <f>E47/C47</f>
        <v>2.620232</v>
      </c>
      <c r="H47" s="502">
        <f>F47/D47</f>
        <v>2.620232</v>
      </c>
      <c r="I47" s="503"/>
      <c r="J47" s="494">
        <f>'[4]61'!$E$44</f>
        <v>131011600</v>
      </c>
      <c r="K47" s="494">
        <f>E47-J47</f>
        <v>0</v>
      </c>
    </row>
    <row r="48" spans="1:11" ht="23.25" customHeight="1">
      <c r="A48" s="504" t="s">
        <v>10</v>
      </c>
      <c r="B48" s="505" t="s">
        <v>343</v>
      </c>
      <c r="C48" s="506">
        <f>C49+C54</f>
        <v>631848000000</v>
      </c>
      <c r="D48" s="506">
        <f>D49+D54</f>
        <v>631848000000</v>
      </c>
      <c r="E48" s="506">
        <f>E49+E54</f>
        <v>788447874806</v>
      </c>
      <c r="F48" s="506">
        <f>F49+F54</f>
        <v>662075122684</v>
      </c>
      <c r="G48" s="502">
        <f aca="true" t="shared" si="4" ref="G48:H50">E48/C48</f>
        <v>1.2478442201383877</v>
      </c>
      <c r="H48" s="502">
        <f t="shared" si="4"/>
        <v>1.0478392314037552</v>
      </c>
      <c r="I48" s="503"/>
      <c r="J48" s="494">
        <f>'[6]61'!$E$45</f>
        <v>788447874806</v>
      </c>
      <c r="K48" s="494">
        <f>E48-J48</f>
        <v>0</v>
      </c>
    </row>
    <row r="49" spans="1:9" ht="16.5" customHeight="1">
      <c r="A49" s="504" t="s">
        <v>18</v>
      </c>
      <c r="B49" s="505" t="s">
        <v>36</v>
      </c>
      <c r="C49" s="506">
        <f>C50+C51</f>
        <v>631848000000</v>
      </c>
      <c r="D49" s="506">
        <f>D50+D51</f>
        <v>631848000000</v>
      </c>
      <c r="E49" s="506">
        <f>E50+E51</f>
        <v>782164417181</v>
      </c>
      <c r="F49" s="506">
        <f>F50+F51</f>
        <v>661365718919</v>
      </c>
      <c r="G49" s="502">
        <f t="shared" si="4"/>
        <v>1.2378996486196048</v>
      </c>
      <c r="H49" s="502">
        <f t="shared" si="4"/>
        <v>1.046716487064927</v>
      </c>
      <c r="I49" s="503"/>
    </row>
    <row r="50" spans="1:9" ht="16.5" customHeight="1">
      <c r="A50" s="504">
        <v>1</v>
      </c>
      <c r="B50" s="505" t="s">
        <v>344</v>
      </c>
      <c r="C50" s="506">
        <v>544752000000</v>
      </c>
      <c r="D50" s="506">
        <v>544752000000</v>
      </c>
      <c r="E50" s="506">
        <v>626222000000</v>
      </c>
      <c r="F50" s="506">
        <v>544752000000</v>
      </c>
      <c r="G50" s="502">
        <f t="shared" si="4"/>
        <v>1.1495542925955298</v>
      </c>
      <c r="H50" s="502">
        <f t="shared" si="4"/>
        <v>1</v>
      </c>
      <c r="I50" s="503"/>
    </row>
    <row r="51" spans="1:9" ht="16.5" customHeight="1">
      <c r="A51" s="504">
        <v>2</v>
      </c>
      <c r="B51" s="505" t="s">
        <v>89</v>
      </c>
      <c r="C51" s="506">
        <f>C52+C53</f>
        <v>87096000000</v>
      </c>
      <c r="D51" s="506">
        <f>D52+D53</f>
        <v>87096000000</v>
      </c>
      <c r="E51" s="506">
        <f>E52+E53</f>
        <v>155942417181</v>
      </c>
      <c r="F51" s="506">
        <f>F52+F53</f>
        <v>116613718919</v>
      </c>
      <c r="G51" s="502">
        <f>E51/C51</f>
        <v>1.7904658902934694</v>
      </c>
      <c r="H51" s="502">
        <f>F51/D51</f>
        <v>1.3389101556787912</v>
      </c>
      <c r="I51" s="503"/>
    </row>
    <row r="52" spans="1:11" ht="16.5" customHeight="1">
      <c r="A52" s="507" t="s">
        <v>345</v>
      </c>
      <c r="B52" s="262" t="s">
        <v>346</v>
      </c>
      <c r="C52" s="508">
        <v>87096000000</v>
      </c>
      <c r="D52" s="508">
        <v>87096000000</v>
      </c>
      <c r="E52" s="508">
        <v>155891898262</v>
      </c>
      <c r="F52" s="508">
        <v>116563200000</v>
      </c>
      <c r="G52" s="509">
        <f>E52/C52</f>
        <v>1.7898858531046202</v>
      </c>
      <c r="H52" s="509">
        <f>F52/D52</f>
        <v>1.338330118489942</v>
      </c>
      <c r="I52" s="503"/>
      <c r="J52" s="494">
        <f>'[4]61'!$E$49</f>
        <v>155891898262</v>
      </c>
      <c r="K52" s="494">
        <f>E52-J52</f>
        <v>0</v>
      </c>
    </row>
    <row r="53" spans="1:11" ht="16.5" customHeight="1">
      <c r="A53" s="507" t="s">
        <v>347</v>
      </c>
      <c r="B53" s="262" t="s">
        <v>348</v>
      </c>
      <c r="C53" s="508"/>
      <c r="D53" s="508"/>
      <c r="E53" s="508">
        <f>10167470160-10116951241</f>
        <v>50518919</v>
      </c>
      <c r="F53" s="508">
        <f>10167470160-10116951241</f>
        <v>50518919</v>
      </c>
      <c r="G53" s="502"/>
      <c r="H53" s="502"/>
      <c r="I53" s="503"/>
      <c r="K53" s="494"/>
    </row>
    <row r="54" spans="1:11" ht="19.5" customHeight="1">
      <c r="A54" s="504" t="s">
        <v>19</v>
      </c>
      <c r="B54" s="505" t="s">
        <v>349</v>
      </c>
      <c r="C54" s="508"/>
      <c r="D54" s="508"/>
      <c r="E54" s="506">
        <v>6283457625</v>
      </c>
      <c r="F54" s="506">
        <f>709403765</f>
        <v>709403765</v>
      </c>
      <c r="G54" s="502"/>
      <c r="H54" s="502"/>
      <c r="I54" s="503"/>
      <c r="J54" s="494">
        <f>'[4]61'!$E$51</f>
        <v>6283457625</v>
      </c>
      <c r="K54" s="494">
        <f>E54-J54</f>
        <v>0</v>
      </c>
    </row>
    <row r="55" spans="1:11" ht="20.25" customHeight="1">
      <c r="A55" s="504" t="s">
        <v>23</v>
      </c>
      <c r="B55" s="505" t="s">
        <v>350</v>
      </c>
      <c r="C55" s="508"/>
      <c r="D55" s="508"/>
      <c r="E55" s="506">
        <v>50541555153</v>
      </c>
      <c r="F55" s="506">
        <v>50541555153</v>
      </c>
      <c r="G55" s="502"/>
      <c r="H55" s="502"/>
      <c r="I55" s="503"/>
      <c r="J55" s="494">
        <f>'[4]61'!$E$52</f>
        <v>50541555153</v>
      </c>
      <c r="K55" s="494">
        <f>E55-J55</f>
        <v>0</v>
      </c>
    </row>
    <row r="56" spans="1:11" ht="20.25" customHeight="1">
      <c r="A56" s="512" t="s">
        <v>351</v>
      </c>
      <c r="B56" s="513" t="s">
        <v>352</v>
      </c>
      <c r="C56" s="514"/>
      <c r="D56" s="514"/>
      <c r="E56" s="515">
        <v>128333703</v>
      </c>
      <c r="F56" s="515">
        <v>128333703</v>
      </c>
      <c r="G56" s="516"/>
      <c r="H56" s="516"/>
      <c r="I56" s="503"/>
      <c r="J56" s="494">
        <f>'[4]61'!$E$53</f>
        <v>128333703</v>
      </c>
      <c r="K56" s="494">
        <f>E56-J56</f>
        <v>0</v>
      </c>
    </row>
  </sheetData>
  <sheetProtection/>
  <mergeCells count="5">
    <mergeCell ref="C5:D6"/>
    <mergeCell ref="E5:F6"/>
    <mergeCell ref="G5:H6"/>
    <mergeCell ref="A5:A8"/>
    <mergeCell ref="B5:B8"/>
  </mergeCells>
  <printOptions/>
  <pageMargins left="0.57" right="0.25" top="0.5" bottom="0.9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9">
      <selection activeCell="D17" sqref="D17"/>
    </sheetView>
  </sheetViews>
  <sheetFormatPr defaultColWidth="8.796875" defaultRowHeight="15"/>
  <cols>
    <col min="1" max="1" width="5.8984375" style="200" customWidth="1"/>
    <col min="2" max="2" width="42" style="200" customWidth="1"/>
    <col min="3" max="3" width="14.8984375" style="200" customWidth="1"/>
    <col min="4" max="4" width="14.796875" style="200" customWidth="1"/>
    <col min="5" max="5" width="7" style="200" customWidth="1"/>
    <col min="6" max="6" width="9" style="200" customWidth="1"/>
    <col min="7" max="7" width="14.8984375" style="520" hidden="1" customWidth="1"/>
    <col min="8" max="8" width="15.8984375" style="200" customWidth="1"/>
    <col min="9" max="16384" width="9" style="200" customWidth="1"/>
  </cols>
  <sheetData>
    <row r="1" spans="1:5" ht="18" customHeight="1">
      <c r="A1" s="196"/>
      <c r="B1" s="196"/>
      <c r="C1" s="197"/>
      <c r="D1" s="198"/>
      <c r="E1" s="199" t="s">
        <v>129</v>
      </c>
    </row>
    <row r="2" spans="1:5" ht="21.75" customHeight="1">
      <c r="A2" s="196" t="s">
        <v>515</v>
      </c>
      <c r="B2" s="198"/>
      <c r="C2" s="201"/>
      <c r="D2" s="201"/>
      <c r="E2" s="201"/>
    </row>
    <row r="3" spans="1:5" ht="21" customHeight="1">
      <c r="A3" s="249" t="str">
        <f>'Biểu 48'!A3</f>
        <v>(Kèm theo Nghị quyết số          /2019/NQ-HĐND ngày         /      /2019 của HĐND huyện Tuần Giáo)</v>
      </c>
      <c r="B3" s="197"/>
      <c r="C3" s="197"/>
      <c r="D3" s="197"/>
      <c r="E3" s="197"/>
    </row>
    <row r="4" spans="1:5" ht="19.5" customHeight="1">
      <c r="A4" s="202"/>
      <c r="B4" s="202"/>
      <c r="C4" s="203"/>
      <c r="D4" s="604" t="s">
        <v>276</v>
      </c>
      <c r="E4" s="604"/>
    </row>
    <row r="5" spans="1:7" s="204" customFormat="1" ht="15.75" customHeight="1">
      <c r="A5" s="598" t="s">
        <v>61</v>
      </c>
      <c r="B5" s="598" t="s">
        <v>137</v>
      </c>
      <c r="C5" s="598" t="s">
        <v>6</v>
      </c>
      <c r="D5" s="598" t="s">
        <v>60</v>
      </c>
      <c r="E5" s="601" t="s">
        <v>87</v>
      </c>
      <c r="G5" s="520" t="s">
        <v>521</v>
      </c>
    </row>
    <row r="6" spans="1:7" s="204" customFormat="1" ht="15.75" customHeight="1">
      <c r="A6" s="599"/>
      <c r="B6" s="599" t="s">
        <v>137</v>
      </c>
      <c r="C6" s="599"/>
      <c r="D6" s="599"/>
      <c r="E6" s="602" t="s">
        <v>87</v>
      </c>
      <c r="G6" s="520"/>
    </row>
    <row r="7" spans="1:7" s="204" customFormat="1" ht="15.75" customHeight="1">
      <c r="A7" s="600"/>
      <c r="B7" s="600"/>
      <c r="C7" s="600"/>
      <c r="D7" s="600"/>
      <c r="E7" s="594"/>
      <c r="G7" s="520"/>
    </row>
    <row r="8" spans="1:7" s="207" customFormat="1" ht="17.25" customHeight="1">
      <c r="A8" s="205" t="s">
        <v>9</v>
      </c>
      <c r="B8" s="205" t="s">
        <v>10</v>
      </c>
      <c r="C8" s="205">
        <v>1</v>
      </c>
      <c r="D8" s="205">
        <f>C8+1</f>
        <v>2</v>
      </c>
      <c r="E8" s="206" t="s">
        <v>54</v>
      </c>
      <c r="G8" s="498"/>
    </row>
    <row r="9" spans="1:7" s="203" customFormat="1" ht="22.5" customHeight="1">
      <c r="A9" s="186"/>
      <c r="B9" s="187" t="s">
        <v>76</v>
      </c>
      <c r="C9" s="208">
        <f>C10+C24+C58+C59</f>
        <v>679098000000</v>
      </c>
      <c r="D9" s="208">
        <f>D10+D24+D58+D59</f>
        <v>770488774343</v>
      </c>
      <c r="E9" s="229">
        <f>D9/C9</f>
        <v>1.134576709610395</v>
      </c>
      <c r="G9" s="296">
        <f>D9-'Biểu 53-H+X'!F12</f>
        <v>0</v>
      </c>
    </row>
    <row r="10" spans="1:8" s="203" customFormat="1" ht="22.5" customHeight="1">
      <c r="A10" s="188" t="s">
        <v>9</v>
      </c>
      <c r="B10" s="189" t="s">
        <v>59</v>
      </c>
      <c r="C10" s="209">
        <f>C11+C18+C22+C23</f>
        <v>592002000000</v>
      </c>
      <c r="D10" s="209">
        <f>D11+D18+D22+D23</f>
        <v>608766958247</v>
      </c>
      <c r="E10" s="229">
        <f>D10/C10</f>
        <v>1.0283190905554374</v>
      </c>
      <c r="G10" s="296">
        <f>D10-'Biểu 53-H+X'!F13</f>
        <v>0</v>
      </c>
      <c r="H10" s="406"/>
    </row>
    <row r="11" spans="1:7" s="211" customFormat="1" ht="22.5" customHeight="1">
      <c r="A11" s="188" t="s">
        <v>18</v>
      </c>
      <c r="B11" s="189" t="s">
        <v>33</v>
      </c>
      <c r="C11" s="209">
        <f>C12</f>
        <v>20400000000</v>
      </c>
      <c r="D11" s="209">
        <f>D12</f>
        <v>14050731600</v>
      </c>
      <c r="E11" s="229">
        <f>D11/C11</f>
        <v>0.6887613529411765</v>
      </c>
      <c r="G11" s="521"/>
    </row>
    <row r="12" spans="1:7" s="211" customFormat="1" ht="22.5" customHeight="1">
      <c r="A12" s="190">
        <v>1</v>
      </c>
      <c r="B12" s="191" t="s">
        <v>69</v>
      </c>
      <c r="C12" s="210">
        <f>C16</f>
        <v>20400000000</v>
      </c>
      <c r="D12" s="210">
        <f>D16</f>
        <v>14050731600</v>
      </c>
      <c r="E12" s="227"/>
      <c r="G12" s="521"/>
    </row>
    <row r="13" spans="1:7" s="203" customFormat="1" ht="22.5" customHeight="1">
      <c r="A13" s="190"/>
      <c r="B13" s="191" t="s">
        <v>135</v>
      </c>
      <c r="C13" s="212"/>
      <c r="D13" s="212">
        <f>D14+D15</f>
        <v>0</v>
      </c>
      <c r="E13" s="227"/>
      <c r="G13" s="520"/>
    </row>
    <row r="14" spans="1:7" s="211" customFormat="1" ht="22.5" customHeight="1">
      <c r="A14" s="193" t="s">
        <v>15</v>
      </c>
      <c r="B14" s="192" t="s">
        <v>66</v>
      </c>
      <c r="C14" s="210"/>
      <c r="D14" s="210"/>
      <c r="E14" s="227"/>
      <c r="G14" s="521"/>
    </row>
    <row r="15" spans="1:7" s="211" customFormat="1" ht="22.5" customHeight="1">
      <c r="A15" s="193" t="s">
        <v>15</v>
      </c>
      <c r="B15" s="192" t="s">
        <v>42</v>
      </c>
      <c r="C15" s="263"/>
      <c r="D15" s="210"/>
      <c r="E15" s="227"/>
      <c r="G15" s="521"/>
    </row>
    <row r="16" spans="1:7" s="203" customFormat="1" ht="22.5" customHeight="1">
      <c r="A16" s="190"/>
      <c r="B16" s="191" t="s">
        <v>136</v>
      </c>
      <c r="C16" s="212">
        <f>C17</f>
        <v>20400000000</v>
      </c>
      <c r="D16" s="212">
        <f>D17</f>
        <v>14050731600</v>
      </c>
      <c r="E16" s="227">
        <f>D16/C16</f>
        <v>0.6887613529411765</v>
      </c>
      <c r="G16" s="520"/>
    </row>
    <row r="17" spans="1:7" s="211" customFormat="1" ht="22.5" customHeight="1">
      <c r="A17" s="193" t="s">
        <v>15</v>
      </c>
      <c r="B17" s="192" t="s">
        <v>26</v>
      </c>
      <c r="C17" s="210">
        <v>20400000000</v>
      </c>
      <c r="D17" s="210">
        <v>14050731600</v>
      </c>
      <c r="E17" s="227">
        <f>D17/C17</f>
        <v>0.6887613529411765</v>
      </c>
      <c r="G17" s="521"/>
    </row>
    <row r="18" spans="1:8" s="213" customFormat="1" ht="22.5" customHeight="1">
      <c r="A18" s="188" t="s">
        <v>19</v>
      </c>
      <c r="B18" s="189" t="s">
        <v>27</v>
      </c>
      <c r="C18" s="209">
        <v>560214000000</v>
      </c>
      <c r="D18" s="209">
        <f>594665707728+50518919</f>
        <v>594716226647</v>
      </c>
      <c r="E18" s="229">
        <f>D18/C18</f>
        <v>1.0615875837572786</v>
      </c>
      <c r="G18" s="236"/>
      <c r="H18" s="236"/>
    </row>
    <row r="19" spans="1:7" s="203" customFormat="1" ht="22.5" customHeight="1">
      <c r="A19" s="188"/>
      <c r="B19" s="192" t="s">
        <v>32</v>
      </c>
      <c r="C19" s="212"/>
      <c r="D19" s="212"/>
      <c r="E19" s="227"/>
      <c r="G19" s="520"/>
    </row>
    <row r="20" spans="1:7" s="203" customFormat="1" ht="22.5" customHeight="1">
      <c r="A20" s="190">
        <v>1</v>
      </c>
      <c r="B20" s="192" t="s">
        <v>88</v>
      </c>
      <c r="C20" s="212">
        <v>349542000000</v>
      </c>
      <c r="D20" s="212">
        <v>362316403876</v>
      </c>
      <c r="E20" s="227">
        <f>D20/C20</f>
        <v>1.0365461199970247</v>
      </c>
      <c r="G20" s="520"/>
    </row>
    <row r="21" spans="1:7" s="203" customFormat="1" ht="22.5" customHeight="1">
      <c r="A21" s="190">
        <f>A20+1</f>
        <v>2</v>
      </c>
      <c r="B21" s="192" t="s">
        <v>0</v>
      </c>
      <c r="C21" s="212">
        <v>500000000</v>
      </c>
      <c r="D21" s="212">
        <v>492763031</v>
      </c>
      <c r="E21" s="227">
        <f>D21/C21</f>
        <v>0.985526062</v>
      </c>
      <c r="G21" s="520"/>
    </row>
    <row r="22" spans="1:7" s="203" customFormat="1" ht="22.5" customHeight="1">
      <c r="A22" s="188" t="s">
        <v>20</v>
      </c>
      <c r="B22" s="189" t="s">
        <v>28</v>
      </c>
      <c r="C22" s="212">
        <v>11388000000</v>
      </c>
      <c r="D22" s="212"/>
      <c r="E22" s="227"/>
      <c r="G22" s="520"/>
    </row>
    <row r="23" spans="1:7" s="203" customFormat="1" ht="22.5" customHeight="1">
      <c r="A23" s="188" t="s">
        <v>21</v>
      </c>
      <c r="B23" s="189" t="s">
        <v>70</v>
      </c>
      <c r="C23" s="212"/>
      <c r="D23" s="212"/>
      <c r="E23" s="227"/>
      <c r="G23" s="520"/>
    </row>
    <row r="24" spans="1:7" s="213" customFormat="1" ht="22.5" customHeight="1">
      <c r="A24" s="188" t="s">
        <v>10</v>
      </c>
      <c r="B24" s="264" t="s">
        <v>108</v>
      </c>
      <c r="C24" s="209">
        <f>C25+C44</f>
        <v>87096000000</v>
      </c>
      <c r="D24" s="209">
        <f>D25+D44</f>
        <v>102022453956</v>
      </c>
      <c r="E24" s="229">
        <f aca="true" t="shared" si="0" ref="E24:E54">D24/C24</f>
        <v>1.171379328051805</v>
      </c>
      <c r="G24" s="522">
        <f>D24-'Biểu 53-H+X'!F27</f>
        <v>0</v>
      </c>
    </row>
    <row r="25" spans="1:7" s="213" customFormat="1" ht="22.5" customHeight="1">
      <c r="A25" s="188" t="s">
        <v>18</v>
      </c>
      <c r="B25" s="189" t="s">
        <v>105</v>
      </c>
      <c r="C25" s="209">
        <f>C26+C36</f>
        <v>73223000000</v>
      </c>
      <c r="D25" s="209">
        <f>D26+D36</f>
        <v>79288479531</v>
      </c>
      <c r="E25" s="229">
        <f t="shared" si="0"/>
        <v>1.082835714611529</v>
      </c>
      <c r="G25" s="522">
        <f>D25-'Biểu 53-H+X'!F28</f>
        <v>0</v>
      </c>
    </row>
    <row r="26" spans="1:7" s="203" customFormat="1" ht="22.5" customHeight="1">
      <c r="A26" s="190">
        <v>1</v>
      </c>
      <c r="B26" s="191" t="s">
        <v>366</v>
      </c>
      <c r="C26" s="212">
        <f>SUM(C27,C30,C34,C35)</f>
        <v>40028000000</v>
      </c>
      <c r="D26" s="212">
        <f>SUM(D27,D30,D34,D35)</f>
        <v>37170964500</v>
      </c>
      <c r="E26" s="227">
        <f t="shared" si="0"/>
        <v>0.9286240756470471</v>
      </c>
      <c r="G26" s="520"/>
    </row>
    <row r="27" spans="1:7" s="203" customFormat="1" ht="22.5" customHeight="1">
      <c r="A27" s="190" t="s">
        <v>15</v>
      </c>
      <c r="B27" s="191" t="s">
        <v>357</v>
      </c>
      <c r="C27" s="212">
        <f>SUM(C28:C29)</f>
        <v>17572000000</v>
      </c>
      <c r="D27" s="212">
        <f>SUM(D28:D29)</f>
        <v>8877282500</v>
      </c>
      <c r="E27" s="227">
        <f t="shared" si="0"/>
        <v>0.5051947700887776</v>
      </c>
      <c r="G27" s="520"/>
    </row>
    <row r="28" spans="1:7" s="203" customFormat="1" ht="22.5" customHeight="1">
      <c r="A28" s="190"/>
      <c r="B28" s="191" t="s">
        <v>523</v>
      </c>
      <c r="C28" s="212">
        <v>16454000000</v>
      </c>
      <c r="D28" s="212">
        <v>7715319500</v>
      </c>
      <c r="E28" s="227">
        <f t="shared" si="0"/>
        <v>0.46890236416676795</v>
      </c>
      <c r="G28" s="520"/>
    </row>
    <row r="29" spans="1:7" s="203" customFormat="1" ht="22.5" customHeight="1">
      <c r="A29" s="190"/>
      <c r="B29" s="191" t="s">
        <v>522</v>
      </c>
      <c r="C29" s="212">
        <v>1118000000</v>
      </c>
      <c r="D29" s="212">
        <v>1161963000</v>
      </c>
      <c r="E29" s="227">
        <f t="shared" si="0"/>
        <v>1.0393228980322005</v>
      </c>
      <c r="G29" s="520"/>
    </row>
    <row r="30" spans="1:7" s="203" customFormat="1" ht="22.5" customHeight="1">
      <c r="A30" s="190" t="s">
        <v>15</v>
      </c>
      <c r="B30" s="191" t="s">
        <v>358</v>
      </c>
      <c r="C30" s="212">
        <f>SUM(C31:C33)</f>
        <v>22285000000</v>
      </c>
      <c r="D30" s="212">
        <f>SUM(D31:D33)</f>
        <v>28122682000</v>
      </c>
      <c r="E30" s="227">
        <f t="shared" si="0"/>
        <v>1.261955665245681</v>
      </c>
      <c r="G30" s="520"/>
    </row>
    <row r="31" spans="1:7" s="203" customFormat="1" ht="39.75" customHeight="1">
      <c r="A31" s="190"/>
      <c r="B31" s="273" t="s">
        <v>524</v>
      </c>
      <c r="C31" s="212">
        <v>16797000000</v>
      </c>
      <c r="D31" s="212">
        <v>22640402000</v>
      </c>
      <c r="E31" s="227">
        <f t="shared" si="0"/>
        <v>1.347883669702923</v>
      </c>
      <c r="G31" s="520"/>
    </row>
    <row r="32" spans="1:7" s="203" customFormat="1" ht="22.5" customHeight="1">
      <c r="A32" s="190"/>
      <c r="B32" s="191" t="s">
        <v>522</v>
      </c>
      <c r="C32" s="212">
        <v>1058000000</v>
      </c>
      <c r="D32" s="212">
        <v>1058000000</v>
      </c>
      <c r="E32" s="227">
        <f t="shared" si="0"/>
        <v>1</v>
      </c>
      <c r="G32" s="520"/>
    </row>
    <row r="33" spans="1:7" s="203" customFormat="1" ht="55.5" customHeight="1">
      <c r="A33" s="190"/>
      <c r="B33" s="273" t="s">
        <v>525</v>
      </c>
      <c r="C33" s="212">
        <v>4430000000</v>
      </c>
      <c r="D33" s="212">
        <v>4424280000</v>
      </c>
      <c r="E33" s="227">
        <f t="shared" si="0"/>
        <v>0.9987088036117382</v>
      </c>
      <c r="G33" s="520"/>
    </row>
    <row r="34" spans="1:7" s="203" customFormat="1" ht="22.5" customHeight="1">
      <c r="A34" s="190" t="s">
        <v>15</v>
      </c>
      <c r="B34" s="191" t="s">
        <v>360</v>
      </c>
      <c r="C34" s="212">
        <v>76000000</v>
      </c>
      <c r="D34" s="212">
        <v>76000000</v>
      </c>
      <c r="E34" s="227">
        <f t="shared" si="0"/>
        <v>1</v>
      </c>
      <c r="G34" s="520"/>
    </row>
    <row r="35" spans="1:7" s="203" customFormat="1" ht="22.5" customHeight="1">
      <c r="A35" s="190" t="s">
        <v>15</v>
      </c>
      <c r="B35" s="191" t="s">
        <v>359</v>
      </c>
      <c r="C35" s="212">
        <v>95000000</v>
      </c>
      <c r="D35" s="212">
        <v>95000000</v>
      </c>
      <c r="E35" s="227">
        <f t="shared" si="0"/>
        <v>1</v>
      </c>
      <c r="G35" s="520"/>
    </row>
    <row r="36" spans="1:7" s="203" customFormat="1" ht="22.5" customHeight="1">
      <c r="A36" s="190">
        <v>2</v>
      </c>
      <c r="B36" s="191" t="s">
        <v>367</v>
      </c>
      <c r="C36" s="212">
        <f>C37+SUM(C40:C43)</f>
        <v>33195000000</v>
      </c>
      <c r="D36" s="212">
        <f>D37+SUM(D40:D43)</f>
        <v>42117515031</v>
      </c>
      <c r="E36" s="227">
        <f t="shared" si="0"/>
        <v>1.2687909333032084</v>
      </c>
      <c r="G36" s="520"/>
    </row>
    <row r="37" spans="1:7" s="203" customFormat="1" ht="22.5" customHeight="1">
      <c r="A37" s="190" t="s">
        <v>15</v>
      </c>
      <c r="B37" s="191" t="s">
        <v>448</v>
      </c>
      <c r="C37" s="212">
        <f>SUM(C38:C39)</f>
        <v>24300000000</v>
      </c>
      <c r="D37" s="212">
        <f>SUM(D38:D39)</f>
        <v>33261313000</v>
      </c>
      <c r="E37" s="227">
        <f t="shared" si="0"/>
        <v>1.3687783127572017</v>
      </c>
      <c r="G37" s="520"/>
    </row>
    <row r="38" spans="1:7" s="203" customFormat="1" ht="22.5" customHeight="1">
      <c r="A38" s="190"/>
      <c r="B38" s="191" t="s">
        <v>362</v>
      </c>
      <c r="C38" s="212">
        <v>24300000000</v>
      </c>
      <c r="D38" s="212">
        <v>32607313000</v>
      </c>
      <c r="E38" s="227">
        <f t="shared" si="0"/>
        <v>1.3418647325102881</v>
      </c>
      <c r="G38" s="520"/>
    </row>
    <row r="39" spans="1:7" s="203" customFormat="1" ht="22.5" customHeight="1">
      <c r="A39" s="190"/>
      <c r="B39" s="191" t="s">
        <v>363</v>
      </c>
      <c r="C39" s="212"/>
      <c r="D39" s="212">
        <v>654000000</v>
      </c>
      <c r="E39" s="227"/>
      <c r="G39" s="520"/>
    </row>
    <row r="40" spans="1:7" s="203" customFormat="1" ht="22.5" customHeight="1">
      <c r="A40" s="190" t="s">
        <v>15</v>
      </c>
      <c r="B40" s="191" t="s">
        <v>456</v>
      </c>
      <c r="C40" s="212">
        <v>7129000000</v>
      </c>
      <c r="D40" s="212">
        <v>7127817500</v>
      </c>
      <c r="E40" s="227">
        <f t="shared" si="0"/>
        <v>0.999834128208725</v>
      </c>
      <c r="G40" s="520"/>
    </row>
    <row r="41" spans="1:7" s="203" customFormat="1" ht="22.5" customHeight="1">
      <c r="A41" s="190" t="s">
        <v>15</v>
      </c>
      <c r="B41" s="191" t="s">
        <v>217</v>
      </c>
      <c r="C41" s="212">
        <v>1051000000</v>
      </c>
      <c r="D41" s="212">
        <v>1022304600</v>
      </c>
      <c r="E41" s="227">
        <f t="shared" si="0"/>
        <v>0.9726970504281637</v>
      </c>
      <c r="G41" s="520"/>
    </row>
    <row r="42" spans="1:7" s="203" customFormat="1" ht="22.5" customHeight="1">
      <c r="A42" s="190" t="s">
        <v>15</v>
      </c>
      <c r="B42" s="191" t="s">
        <v>526</v>
      </c>
      <c r="C42" s="212">
        <v>500000000</v>
      </c>
      <c r="D42" s="212">
        <v>498079931</v>
      </c>
      <c r="E42" s="227">
        <f t="shared" si="0"/>
        <v>0.996159862</v>
      </c>
      <c r="G42" s="520"/>
    </row>
    <row r="43" spans="1:7" s="203" customFormat="1" ht="22.5" customHeight="1">
      <c r="A43" s="190" t="s">
        <v>15</v>
      </c>
      <c r="B43" s="191" t="s">
        <v>473</v>
      </c>
      <c r="C43" s="212">
        <v>215000000</v>
      </c>
      <c r="D43" s="212">
        <v>208000000</v>
      </c>
      <c r="E43" s="227">
        <f t="shared" si="0"/>
        <v>0.9674418604651163</v>
      </c>
      <c r="G43" s="520"/>
    </row>
    <row r="44" spans="1:7" s="213" customFormat="1" ht="22.5" customHeight="1">
      <c r="A44" s="188" t="s">
        <v>19</v>
      </c>
      <c r="B44" s="189" t="s">
        <v>544</v>
      </c>
      <c r="C44" s="209">
        <f>C45+C48</f>
        <v>13873000000</v>
      </c>
      <c r="D44" s="209">
        <f>D45+D48</f>
        <v>22733974425</v>
      </c>
      <c r="E44" s="229">
        <f t="shared" si="0"/>
        <v>1.6387208552584156</v>
      </c>
      <c r="G44" s="522">
        <f>D44-'Biểu 53-H+X'!F47</f>
        <v>0</v>
      </c>
    </row>
    <row r="45" spans="1:7" s="213" customFormat="1" ht="22.5" customHeight="1">
      <c r="A45" s="188">
        <v>1</v>
      </c>
      <c r="B45" s="189" t="s">
        <v>448</v>
      </c>
      <c r="C45" s="209">
        <f>SUM(C46:C47)</f>
        <v>2518000000</v>
      </c>
      <c r="D45" s="209">
        <f>SUM(D46:D47)</f>
        <v>12897442485</v>
      </c>
      <c r="E45" s="229">
        <f t="shared" si="0"/>
        <v>5.122097889197776</v>
      </c>
      <c r="G45" s="523"/>
    </row>
    <row r="46" spans="1:7" s="203" customFormat="1" ht="53.25" customHeight="1">
      <c r="A46" s="190" t="s">
        <v>15</v>
      </c>
      <c r="B46" s="273" t="s">
        <v>527</v>
      </c>
      <c r="C46" s="212">
        <v>2518000000</v>
      </c>
      <c r="D46" s="212">
        <v>2577442485</v>
      </c>
      <c r="E46" s="227">
        <f t="shared" si="0"/>
        <v>1.0236070234312946</v>
      </c>
      <c r="G46" s="520"/>
    </row>
    <row r="47" spans="1:7" s="203" customFormat="1" ht="22.5" customHeight="1">
      <c r="A47" s="190" t="s">
        <v>15</v>
      </c>
      <c r="B47" s="191" t="s">
        <v>566</v>
      </c>
      <c r="C47" s="212"/>
      <c r="D47" s="212">
        <v>10320000000</v>
      </c>
      <c r="E47" s="227"/>
      <c r="G47" s="520"/>
    </row>
    <row r="48" spans="1:7" s="213" customFormat="1" ht="22.5" customHeight="1">
      <c r="A48" s="188">
        <v>2</v>
      </c>
      <c r="B48" s="189" t="s">
        <v>449</v>
      </c>
      <c r="C48" s="209">
        <f>SUM(C49:C57)</f>
        <v>11355000000</v>
      </c>
      <c r="D48" s="209">
        <f>SUM(D49:D57)</f>
        <v>9836531940</v>
      </c>
      <c r="E48" s="229">
        <f t="shared" si="0"/>
        <v>0.866273178335535</v>
      </c>
      <c r="G48" s="520"/>
    </row>
    <row r="49" spans="1:7" s="203" customFormat="1" ht="40.5" customHeight="1">
      <c r="A49" s="190" t="s">
        <v>15</v>
      </c>
      <c r="B49" s="273" t="s">
        <v>528</v>
      </c>
      <c r="C49" s="212">
        <v>191000000</v>
      </c>
      <c r="D49" s="212">
        <v>480000000</v>
      </c>
      <c r="E49" s="227">
        <f t="shared" si="0"/>
        <v>2.513089005235602</v>
      </c>
      <c r="G49" s="520"/>
    </row>
    <row r="50" spans="1:7" s="203" customFormat="1" ht="22.5" customHeight="1">
      <c r="A50" s="190" t="s">
        <v>15</v>
      </c>
      <c r="B50" s="191" t="s">
        <v>471</v>
      </c>
      <c r="C50" s="212">
        <v>70000000</v>
      </c>
      <c r="D50" s="212">
        <v>70000000</v>
      </c>
      <c r="E50" s="227">
        <f t="shared" si="0"/>
        <v>1</v>
      </c>
      <c r="G50" s="520"/>
    </row>
    <row r="51" spans="1:7" s="203" customFormat="1" ht="22.5" customHeight="1">
      <c r="A51" s="190" t="s">
        <v>15</v>
      </c>
      <c r="B51" s="191" t="s">
        <v>529</v>
      </c>
      <c r="C51" s="212">
        <v>3519000000</v>
      </c>
      <c r="D51" s="405">
        <v>5609857940</v>
      </c>
      <c r="E51" s="227">
        <f t="shared" si="0"/>
        <v>1.5941625291275932</v>
      </c>
      <c r="G51" s="520"/>
    </row>
    <row r="52" spans="1:7" s="203" customFormat="1" ht="51.75" customHeight="1">
      <c r="A52" s="190" t="s">
        <v>15</v>
      </c>
      <c r="B52" s="273" t="s">
        <v>527</v>
      </c>
      <c r="C52" s="212">
        <v>300000000</v>
      </c>
      <c r="D52" s="212">
        <v>520000000</v>
      </c>
      <c r="E52" s="227">
        <f t="shared" si="0"/>
        <v>1.7333333333333334</v>
      </c>
      <c r="G52" s="520"/>
    </row>
    <row r="53" spans="1:7" s="203" customFormat="1" ht="40.5" customHeight="1">
      <c r="A53" s="190" t="s">
        <v>15</v>
      </c>
      <c r="B53" s="273" t="s">
        <v>530</v>
      </c>
      <c r="C53" s="212">
        <v>50000000</v>
      </c>
      <c r="D53" s="212">
        <v>50000000</v>
      </c>
      <c r="E53" s="227">
        <f t="shared" si="0"/>
        <v>1</v>
      </c>
      <c r="G53" s="520"/>
    </row>
    <row r="54" spans="1:7" s="203" customFormat="1" ht="56.25" customHeight="1">
      <c r="A54" s="190" t="s">
        <v>15</v>
      </c>
      <c r="B54" s="273" t="s">
        <v>531</v>
      </c>
      <c r="C54" s="212">
        <v>15000000</v>
      </c>
      <c r="D54" s="212">
        <v>15000000</v>
      </c>
      <c r="E54" s="227">
        <f t="shared" si="0"/>
        <v>1</v>
      </c>
      <c r="G54" s="520"/>
    </row>
    <row r="55" spans="1:7" s="203" customFormat="1" ht="40.5" customHeight="1">
      <c r="A55" s="190" t="s">
        <v>15</v>
      </c>
      <c r="B55" s="273" t="s">
        <v>426</v>
      </c>
      <c r="C55" s="212">
        <v>0</v>
      </c>
      <c r="D55" s="212">
        <v>3088674000</v>
      </c>
      <c r="E55" s="227"/>
      <c r="G55" s="520"/>
    </row>
    <row r="56" spans="1:7" s="203" customFormat="1" ht="57.75" customHeight="1">
      <c r="A56" s="407" t="s">
        <v>15</v>
      </c>
      <c r="B56" s="273" t="s">
        <v>567</v>
      </c>
      <c r="C56" s="212"/>
      <c r="D56" s="212">
        <v>3000000</v>
      </c>
      <c r="E56" s="227"/>
      <c r="G56" s="520"/>
    </row>
    <row r="57" spans="1:7" s="203" customFormat="1" ht="22.5" customHeight="1">
      <c r="A57" s="190" t="s">
        <v>15</v>
      </c>
      <c r="B57" s="273" t="s">
        <v>532</v>
      </c>
      <c r="C57" s="212">
        <v>7210000000</v>
      </c>
      <c r="D57" s="405"/>
      <c r="E57" s="227"/>
      <c r="G57" s="520"/>
    </row>
    <row r="58" spans="1:7" s="213" customFormat="1" ht="22.5" customHeight="1">
      <c r="A58" s="188" t="s">
        <v>23</v>
      </c>
      <c r="B58" s="189" t="s">
        <v>368</v>
      </c>
      <c r="C58" s="209"/>
      <c r="D58" s="209">
        <v>6283457625</v>
      </c>
      <c r="E58" s="227"/>
      <c r="G58" s="296">
        <f>D58-'Biểu 53-H+X'!F61</f>
        <v>0</v>
      </c>
    </row>
    <row r="59" spans="1:7" s="213" customFormat="1" ht="22.5" customHeight="1">
      <c r="A59" s="265" t="s">
        <v>351</v>
      </c>
      <c r="B59" s="266" t="s">
        <v>90</v>
      </c>
      <c r="C59" s="267"/>
      <c r="D59" s="267">
        <v>53415904515</v>
      </c>
      <c r="E59" s="228"/>
      <c r="G59" s="296">
        <f>D59-'Biểu 53-H+X'!F62</f>
        <v>0</v>
      </c>
    </row>
  </sheetData>
  <sheetProtection/>
  <mergeCells count="6">
    <mergeCell ref="D4:E4"/>
    <mergeCell ref="A5:A7"/>
    <mergeCell ref="B5:B7"/>
    <mergeCell ref="C5:C7"/>
    <mergeCell ref="D5:D7"/>
    <mergeCell ref="E5:E7"/>
  </mergeCells>
  <printOptions/>
  <pageMargins left="0.85" right="0.25" top="0.52" bottom="0.57" header="0.25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zoomScale="110" zoomScaleNormal="110" zoomScalePageLayoutView="0" workbookViewId="0" topLeftCell="A1">
      <pane xSplit="2" ySplit="9" topLeftCell="C3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8" sqref="E18"/>
    </sheetView>
  </sheetViews>
  <sheetFormatPr defaultColWidth="8.796875" defaultRowHeight="15"/>
  <cols>
    <col min="1" max="1" width="4" style="144" customWidth="1"/>
    <col min="2" max="2" width="38.09765625" style="144" customWidth="1"/>
    <col min="3" max="4" width="13" style="144" customWidth="1"/>
    <col min="5" max="5" width="13.19921875" style="484" customWidth="1"/>
    <col min="6" max="6" width="6.3984375" style="484" customWidth="1"/>
    <col min="7" max="7" width="7.8984375" style="144" customWidth="1"/>
    <col min="8" max="8" width="11.796875" style="143" hidden="1" customWidth="1"/>
    <col min="9" max="9" width="11.8984375" style="271" hidden="1" customWidth="1"/>
    <col min="10" max="10" width="13.796875" style="271" hidden="1" customWidth="1"/>
    <col min="11" max="17" width="13.796875" style="271" customWidth="1"/>
    <col min="18" max="18" width="9" style="143" customWidth="1"/>
    <col min="19" max="16384" width="9" style="144" customWidth="1"/>
  </cols>
  <sheetData>
    <row r="1" spans="1:6" ht="19.5" customHeight="1">
      <c r="A1" s="152"/>
      <c r="B1" s="152"/>
      <c r="C1" s="153"/>
      <c r="D1" s="154"/>
      <c r="E1" s="165"/>
      <c r="F1" s="165" t="s">
        <v>123</v>
      </c>
    </row>
    <row r="2" spans="1:6" ht="23.25" customHeight="1">
      <c r="A2" s="597" t="s">
        <v>516</v>
      </c>
      <c r="B2" s="597"/>
      <c r="C2" s="597"/>
      <c r="D2" s="597"/>
      <c r="E2" s="597"/>
      <c r="F2" s="597"/>
    </row>
    <row r="3" spans="1:6" ht="21" customHeight="1">
      <c r="A3" s="626" t="str">
        <f>'Biểu 48'!A3</f>
        <v>(Kèm theo Nghị quyết số          /2019/NQ-HĐND ngày         /      /2019 của HĐND huyện Tuần Giáo)</v>
      </c>
      <c r="B3" s="626"/>
      <c r="C3" s="626"/>
      <c r="D3" s="626"/>
      <c r="E3" s="626"/>
      <c r="F3" s="626"/>
    </row>
    <row r="4" spans="1:6" ht="21.75" customHeight="1">
      <c r="A4" s="157"/>
      <c r="B4" s="157"/>
      <c r="C4" s="22"/>
      <c r="D4" s="627" t="s">
        <v>276</v>
      </c>
      <c r="E4" s="627"/>
      <c r="F4" s="627"/>
    </row>
    <row r="5" spans="1:18" s="159" customFormat="1" ht="16.5" customHeight="1">
      <c r="A5" s="598" t="s">
        <v>61</v>
      </c>
      <c r="B5" s="598" t="s">
        <v>137</v>
      </c>
      <c r="C5" s="598" t="s">
        <v>6</v>
      </c>
      <c r="D5" s="601" t="s">
        <v>60</v>
      </c>
      <c r="E5" s="628" t="s">
        <v>62</v>
      </c>
      <c r="F5" s="628"/>
      <c r="G5" s="144"/>
      <c r="H5" s="296" t="s">
        <v>570</v>
      </c>
      <c r="I5" s="143"/>
      <c r="J5" s="271"/>
      <c r="K5" s="271"/>
      <c r="L5" s="271"/>
      <c r="M5" s="271"/>
      <c r="N5" s="271"/>
      <c r="O5" s="271"/>
      <c r="P5" s="271"/>
      <c r="Q5" s="271"/>
      <c r="R5" s="143"/>
    </row>
    <row r="6" spans="1:18" s="159" customFormat="1" ht="15" customHeight="1">
      <c r="A6" s="599"/>
      <c r="B6" s="599" t="s">
        <v>137</v>
      </c>
      <c r="C6" s="599"/>
      <c r="D6" s="602"/>
      <c r="E6" s="629" t="s">
        <v>83</v>
      </c>
      <c r="F6" s="595" t="s">
        <v>163</v>
      </c>
      <c r="G6" s="144"/>
      <c r="H6" s="143"/>
      <c r="I6" s="143"/>
      <c r="J6" s="271"/>
      <c r="K6" s="271"/>
      <c r="L6" s="271"/>
      <c r="M6" s="271"/>
      <c r="N6" s="271"/>
      <c r="O6" s="271"/>
      <c r="P6" s="271"/>
      <c r="Q6" s="271"/>
      <c r="R6" s="143"/>
    </row>
    <row r="7" spans="1:18" s="159" customFormat="1" ht="13.5" customHeight="1">
      <c r="A7" s="600"/>
      <c r="B7" s="600"/>
      <c r="C7" s="600"/>
      <c r="D7" s="594"/>
      <c r="E7" s="630"/>
      <c r="F7" s="596"/>
      <c r="G7" s="144"/>
      <c r="H7" s="143"/>
      <c r="I7" s="271"/>
      <c r="J7" s="271"/>
      <c r="K7" s="271"/>
      <c r="L7" s="271"/>
      <c r="M7" s="271"/>
      <c r="N7" s="271"/>
      <c r="O7" s="271"/>
      <c r="P7" s="271"/>
      <c r="Q7" s="271"/>
      <c r="R7" s="143"/>
    </row>
    <row r="8" spans="1:18" s="185" customFormat="1" ht="15" customHeight="1">
      <c r="A8" s="114" t="s">
        <v>9</v>
      </c>
      <c r="B8" s="114" t="s">
        <v>10</v>
      </c>
      <c r="C8" s="114">
        <v>1</v>
      </c>
      <c r="D8" s="114">
        <f>C8+1</f>
        <v>2</v>
      </c>
      <c r="E8" s="114" t="s">
        <v>84</v>
      </c>
      <c r="F8" s="114" t="s">
        <v>85</v>
      </c>
      <c r="G8" s="469"/>
      <c r="H8" s="485"/>
      <c r="I8" s="470"/>
      <c r="J8" s="470"/>
      <c r="K8" s="470"/>
      <c r="L8" s="470"/>
      <c r="M8" s="470"/>
      <c r="N8" s="470"/>
      <c r="O8" s="470"/>
      <c r="P8" s="470"/>
      <c r="Q8" s="470"/>
      <c r="R8" s="485"/>
    </row>
    <row r="9" spans="1:18" s="22" customFormat="1" ht="20.25" customHeight="1">
      <c r="A9" s="471"/>
      <c r="B9" s="472" t="s">
        <v>164</v>
      </c>
      <c r="C9" s="299">
        <f>C10+C13+C38+C39</f>
        <v>670846000000</v>
      </c>
      <c r="D9" s="299">
        <f>D10+D13+D38+D39</f>
        <v>757194352478</v>
      </c>
      <c r="E9" s="473">
        <f>D9-C9</f>
        <v>86348352478</v>
      </c>
      <c r="F9" s="474">
        <f aca="true" t="shared" si="0" ref="F9:F20">D9/C9</f>
        <v>1.1287156105544343</v>
      </c>
      <c r="G9" s="184"/>
      <c r="H9" s="271">
        <f>D9-'Biểu 49'!D20</f>
        <v>0</v>
      </c>
      <c r="I9" s="271"/>
      <c r="J9" s="271"/>
      <c r="K9" s="271"/>
      <c r="L9" s="271"/>
      <c r="M9" s="271"/>
      <c r="N9" s="271"/>
      <c r="O9" s="271"/>
      <c r="P9" s="271"/>
      <c r="Q9" s="271"/>
      <c r="R9" s="143"/>
    </row>
    <row r="10" spans="1:18" s="22" customFormat="1" ht="20.25" customHeight="1">
      <c r="A10" s="216" t="s">
        <v>9</v>
      </c>
      <c r="B10" s="217" t="s">
        <v>165</v>
      </c>
      <c r="C10" s="135">
        <f>C11+C12</f>
        <v>95405800000</v>
      </c>
      <c r="D10" s="135">
        <f>D11+D12</f>
        <v>120798698262</v>
      </c>
      <c r="E10" s="473">
        <f>D10-C10</f>
        <v>25392898262</v>
      </c>
      <c r="F10" s="474">
        <f t="shared" si="0"/>
        <v>1.2661567563187983</v>
      </c>
      <c r="G10" s="184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143"/>
    </row>
    <row r="11" spans="1:18" s="22" customFormat="1" ht="20.25" customHeight="1">
      <c r="A11" s="220" t="s">
        <v>15</v>
      </c>
      <c r="B11" s="194" t="s">
        <v>167</v>
      </c>
      <c r="C11" s="174">
        <v>81470000000</v>
      </c>
      <c r="D11" s="174">
        <v>81470000000</v>
      </c>
      <c r="E11" s="475">
        <f>D11-C11</f>
        <v>0</v>
      </c>
      <c r="F11" s="476">
        <f t="shared" si="0"/>
        <v>1</v>
      </c>
      <c r="G11" s="144"/>
      <c r="H11" s="143"/>
      <c r="I11" s="271"/>
      <c r="J11" s="271"/>
      <c r="K11" s="271"/>
      <c r="L11" s="271"/>
      <c r="M11" s="271"/>
      <c r="N11" s="271"/>
      <c r="O11" s="271"/>
      <c r="P11" s="271"/>
      <c r="Q11" s="271"/>
      <c r="R11" s="143"/>
    </row>
    <row r="12" spans="1:18" s="22" customFormat="1" ht="20.25" customHeight="1">
      <c r="A12" s="220" t="s">
        <v>166</v>
      </c>
      <c r="B12" s="194" t="s">
        <v>89</v>
      </c>
      <c r="C12" s="136">
        <v>13935800000</v>
      </c>
      <c r="D12" s="174">
        <f>39428550391-99852129</f>
        <v>39328698262</v>
      </c>
      <c r="E12" s="475">
        <f aca="true" t="shared" si="1" ref="E12:E39">D12-C12</f>
        <v>25392898262</v>
      </c>
      <c r="F12" s="476">
        <f t="shared" si="0"/>
        <v>2.822134234274315</v>
      </c>
      <c r="G12" s="144"/>
      <c r="H12" s="143"/>
      <c r="I12" s="143"/>
      <c r="J12" s="271"/>
      <c r="K12" s="271"/>
      <c r="L12" s="271"/>
      <c r="M12" s="271"/>
      <c r="N12" s="271"/>
      <c r="O12" s="271"/>
      <c r="P12" s="271"/>
      <c r="Q12" s="271"/>
      <c r="R12" s="143"/>
    </row>
    <row r="13" spans="1:18" s="22" customFormat="1" ht="20.25" customHeight="1">
      <c r="A13" s="216" t="s">
        <v>10</v>
      </c>
      <c r="B13" s="217" t="s">
        <v>648</v>
      </c>
      <c r="C13" s="135">
        <f>C14+C22+C36</f>
        <v>575440200000</v>
      </c>
      <c r="D13" s="135">
        <f>D14+D22+D36</f>
        <v>585633965154</v>
      </c>
      <c r="E13" s="473">
        <f t="shared" si="1"/>
        <v>10193765154</v>
      </c>
      <c r="F13" s="474">
        <f t="shared" si="0"/>
        <v>1.0177147254467103</v>
      </c>
      <c r="G13" s="184"/>
      <c r="H13" s="271">
        <f>'Biểu 55'!D11+'Biểu 56'!D10-'Biểu 55'!K11-'Biểu 55'!L11-'Biểu 56'!V10-'Biểu 56'!W10</f>
        <v>585633965154</v>
      </c>
      <c r="I13" s="271">
        <f>D13-H13</f>
        <v>0</v>
      </c>
      <c r="J13" s="143"/>
      <c r="K13" s="468"/>
      <c r="L13" s="468"/>
      <c r="M13" s="468"/>
      <c r="N13" s="468"/>
      <c r="O13" s="468"/>
      <c r="P13" s="271"/>
      <c r="Q13" s="271"/>
      <c r="R13" s="143"/>
    </row>
    <row r="14" spans="1:18" s="22" customFormat="1" ht="20.25" customHeight="1">
      <c r="A14" s="216" t="s">
        <v>18</v>
      </c>
      <c r="B14" s="217" t="s">
        <v>24</v>
      </c>
      <c r="C14" s="135">
        <f>C15</f>
        <v>72731200000</v>
      </c>
      <c r="D14" s="135">
        <f>D15</f>
        <v>68417654985</v>
      </c>
      <c r="E14" s="135">
        <f>E15</f>
        <v>-4313545015</v>
      </c>
      <c r="F14" s="474">
        <f t="shared" si="0"/>
        <v>0.9406919586779814</v>
      </c>
      <c r="G14" s="144"/>
      <c r="H14" s="271">
        <f>'Biểu 55'!D11-'Biểu 55'!K11-'Biểu 55'!L11</f>
        <v>68417654985</v>
      </c>
      <c r="I14" s="271">
        <f>D14-H14</f>
        <v>0</v>
      </c>
      <c r="J14" s="486"/>
      <c r="K14" s="271"/>
      <c r="L14" s="271"/>
      <c r="M14" s="271"/>
      <c r="N14" s="271"/>
      <c r="O14" s="271"/>
      <c r="P14" s="271"/>
      <c r="Q14" s="271"/>
      <c r="R14" s="143"/>
    </row>
    <row r="15" spans="1:18" s="481" customFormat="1" ht="20.25" customHeight="1">
      <c r="A15" s="477">
        <v>1</v>
      </c>
      <c r="B15" s="478" t="s">
        <v>69</v>
      </c>
      <c r="C15" s="300">
        <f>SUM(C16:C21)</f>
        <v>72731200000</v>
      </c>
      <c r="D15" s="300">
        <f>SUM(D16:D21)</f>
        <v>68417654985</v>
      </c>
      <c r="E15" s="300">
        <f>SUM(E16:E21)</f>
        <v>-4313545015</v>
      </c>
      <c r="F15" s="479">
        <f t="shared" si="0"/>
        <v>0.9406919586779814</v>
      </c>
      <c r="G15" s="480"/>
      <c r="H15" s="487"/>
      <c r="I15" s="288"/>
      <c r="J15" s="288"/>
      <c r="K15" s="288"/>
      <c r="L15" s="288"/>
      <c r="M15" s="288"/>
      <c r="N15" s="288"/>
      <c r="O15" s="288"/>
      <c r="P15" s="288"/>
      <c r="Q15" s="288"/>
      <c r="R15" s="487"/>
    </row>
    <row r="16" spans="1:18" s="163" customFormat="1" ht="20.25" customHeight="1">
      <c r="A16" s="220" t="s">
        <v>15</v>
      </c>
      <c r="B16" s="194" t="s">
        <v>133</v>
      </c>
      <c r="C16" s="219">
        <f>12958100000+500000000</f>
        <v>13458100000</v>
      </c>
      <c r="D16" s="136">
        <v>18496061000</v>
      </c>
      <c r="E16" s="475">
        <f t="shared" si="1"/>
        <v>5037961000</v>
      </c>
      <c r="F16" s="476">
        <f t="shared" si="0"/>
        <v>1.3743441496199316</v>
      </c>
      <c r="G16" s="167"/>
      <c r="H16" s="486"/>
      <c r="I16" s="271"/>
      <c r="J16" s="271"/>
      <c r="K16" s="271"/>
      <c r="L16" s="271"/>
      <c r="M16" s="271"/>
      <c r="N16" s="271"/>
      <c r="O16" s="271"/>
      <c r="P16" s="271"/>
      <c r="Q16" s="271"/>
      <c r="R16" s="486"/>
    </row>
    <row r="17" spans="1:18" s="163" customFormat="1" ht="20.25" customHeight="1">
      <c r="A17" s="220" t="s">
        <v>15</v>
      </c>
      <c r="B17" s="112" t="s">
        <v>109</v>
      </c>
      <c r="C17" s="219">
        <v>2000000000</v>
      </c>
      <c r="D17" s="136"/>
      <c r="E17" s="475">
        <f t="shared" si="1"/>
        <v>-2000000000</v>
      </c>
      <c r="F17" s="476"/>
      <c r="G17" s="167"/>
      <c r="H17" s="486"/>
      <c r="I17" s="271"/>
      <c r="J17" s="271"/>
      <c r="K17" s="271"/>
      <c r="L17" s="271"/>
      <c r="M17" s="271"/>
      <c r="N17" s="271"/>
      <c r="O17" s="271"/>
      <c r="P17" s="271"/>
      <c r="Q17" s="271"/>
      <c r="R17" s="486"/>
    </row>
    <row r="18" spans="1:18" s="163" customFormat="1" ht="20.25" customHeight="1">
      <c r="A18" s="220" t="s">
        <v>15</v>
      </c>
      <c r="B18" s="112" t="s">
        <v>111</v>
      </c>
      <c r="C18" s="219">
        <f>120000000+280000000</f>
        <v>400000000</v>
      </c>
      <c r="D18" s="136"/>
      <c r="E18" s="475">
        <f t="shared" si="1"/>
        <v>-400000000</v>
      </c>
      <c r="F18" s="476"/>
      <c r="G18" s="167"/>
      <c r="H18" s="486"/>
      <c r="I18" s="271"/>
      <c r="J18" s="271"/>
      <c r="K18" s="271"/>
      <c r="L18" s="271"/>
      <c r="M18" s="271"/>
      <c r="N18" s="271"/>
      <c r="O18" s="271"/>
      <c r="P18" s="271"/>
      <c r="Q18" s="271"/>
      <c r="R18" s="486"/>
    </row>
    <row r="19" spans="1:18" s="163" customFormat="1" ht="20.25" customHeight="1">
      <c r="A19" s="220" t="s">
        <v>15</v>
      </c>
      <c r="B19" s="112" t="s">
        <v>112</v>
      </c>
      <c r="C19" s="219">
        <v>5852400000</v>
      </c>
      <c r="D19" s="136">
        <v>6593301000</v>
      </c>
      <c r="E19" s="475">
        <f t="shared" si="1"/>
        <v>740901000</v>
      </c>
      <c r="F19" s="476">
        <f t="shared" si="0"/>
        <v>1.1265978060282962</v>
      </c>
      <c r="G19" s="167"/>
      <c r="H19" s="486"/>
      <c r="I19" s="271"/>
      <c r="J19" s="271"/>
      <c r="K19" s="271"/>
      <c r="L19" s="271"/>
      <c r="M19" s="271"/>
      <c r="N19" s="271"/>
      <c r="O19" s="271"/>
      <c r="P19" s="271"/>
      <c r="Q19" s="271"/>
      <c r="R19" s="486"/>
    </row>
    <row r="20" spans="1:18" s="22" customFormat="1" ht="20.25" customHeight="1">
      <c r="A20" s="220" t="s">
        <v>15</v>
      </c>
      <c r="B20" s="112" t="s">
        <v>116</v>
      </c>
      <c r="C20" s="219">
        <f>(35704000000+2757000000+148400000)+1157300000</f>
        <v>39766700000</v>
      </c>
      <c r="D20" s="136">
        <v>43328292985</v>
      </c>
      <c r="E20" s="475">
        <f t="shared" si="1"/>
        <v>3561592985</v>
      </c>
      <c r="F20" s="476">
        <f t="shared" si="0"/>
        <v>1.0895621961339512</v>
      </c>
      <c r="G20" s="144"/>
      <c r="H20" s="143"/>
      <c r="I20" s="271"/>
      <c r="J20" s="271"/>
      <c r="K20" s="271"/>
      <c r="L20" s="271"/>
      <c r="M20" s="271"/>
      <c r="N20" s="271"/>
      <c r="O20" s="271"/>
      <c r="P20" s="271"/>
      <c r="Q20" s="271"/>
      <c r="R20" s="143"/>
    </row>
    <row r="21" spans="1:18" s="22" customFormat="1" ht="20.25" customHeight="1">
      <c r="A21" s="218" t="s">
        <v>15</v>
      </c>
      <c r="B21" s="112" t="s">
        <v>569</v>
      </c>
      <c r="C21" s="219">
        <f>16096700000-2757000000-148400000-280000000-500000000-1157300000</f>
        <v>11254000000</v>
      </c>
      <c r="D21" s="136"/>
      <c r="E21" s="475">
        <f t="shared" si="1"/>
        <v>-11254000000</v>
      </c>
      <c r="F21" s="476"/>
      <c r="G21" s="144"/>
      <c r="H21" s="143"/>
      <c r="I21" s="271"/>
      <c r="J21" s="271"/>
      <c r="K21" s="271"/>
      <c r="L21" s="271"/>
      <c r="M21" s="271"/>
      <c r="N21" s="271"/>
      <c r="O21" s="271"/>
      <c r="P21" s="271"/>
      <c r="Q21" s="271"/>
      <c r="R21" s="143"/>
    </row>
    <row r="22" spans="1:18" s="22" customFormat="1" ht="20.25" customHeight="1">
      <c r="A22" s="216" t="s">
        <v>19</v>
      </c>
      <c r="B22" s="217" t="s">
        <v>27</v>
      </c>
      <c r="C22" s="135">
        <f>SUM(C23:C35)</f>
        <v>492919000000</v>
      </c>
      <c r="D22" s="135">
        <f>SUM(D23:D35)</f>
        <v>517216310169</v>
      </c>
      <c r="E22" s="135">
        <f t="shared" si="1"/>
        <v>24297310169</v>
      </c>
      <c r="F22" s="474">
        <f aca="true" t="shared" si="2" ref="F22:F35">D22/C22</f>
        <v>1.049292703606475</v>
      </c>
      <c r="G22" s="144"/>
      <c r="H22" s="271">
        <f>'Biểu 56'!D10-'Biểu 56'!V10-'Biểu 56'!W10</f>
        <v>517216310169</v>
      </c>
      <c r="I22" s="271">
        <f>H22-D22</f>
        <v>0</v>
      </c>
      <c r="J22" s="143"/>
      <c r="K22" s="271"/>
      <c r="L22" s="271"/>
      <c r="M22" s="271"/>
      <c r="N22" s="271"/>
      <c r="O22" s="271"/>
      <c r="P22" s="271"/>
      <c r="Q22" s="271"/>
      <c r="R22" s="143"/>
    </row>
    <row r="23" spans="1:18" s="163" customFormat="1" ht="20.25" customHeight="1">
      <c r="A23" s="220" t="s">
        <v>15</v>
      </c>
      <c r="B23" s="194" t="s">
        <v>468</v>
      </c>
      <c r="C23" s="136">
        <v>349356000000</v>
      </c>
      <c r="D23" s="136">
        <v>4549905000</v>
      </c>
      <c r="E23" s="475">
        <f t="shared" si="1"/>
        <v>-344806095000</v>
      </c>
      <c r="F23" s="476">
        <f>D23/C23</f>
        <v>0.013023692165012193</v>
      </c>
      <c r="G23" s="184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486"/>
    </row>
    <row r="24" spans="1:18" s="163" customFormat="1" ht="20.25" customHeight="1">
      <c r="A24" s="220" t="s">
        <v>15</v>
      </c>
      <c r="B24" s="194" t="s">
        <v>533</v>
      </c>
      <c r="C24" s="136">
        <v>500000000</v>
      </c>
      <c r="D24" s="136">
        <v>2908780000</v>
      </c>
      <c r="E24" s="475">
        <f t="shared" si="1"/>
        <v>2408780000</v>
      </c>
      <c r="F24" s="476">
        <f t="shared" si="2"/>
        <v>5.81756</v>
      </c>
      <c r="G24" s="184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486"/>
    </row>
    <row r="25" spans="1:18" s="163" customFormat="1" ht="20.25" customHeight="1">
      <c r="A25" s="220" t="s">
        <v>15</v>
      </c>
      <c r="B25" s="194" t="s">
        <v>534</v>
      </c>
      <c r="C25" s="136">
        <v>3650000000</v>
      </c>
      <c r="D25" s="136">
        <v>362291708999</v>
      </c>
      <c r="E25" s="475">
        <f t="shared" si="1"/>
        <v>358641708999</v>
      </c>
      <c r="F25" s="476">
        <f t="shared" si="2"/>
        <v>99.25800246547945</v>
      </c>
      <c r="G25" s="184"/>
      <c r="H25" s="271" t="s">
        <v>627</v>
      </c>
      <c r="I25" s="271" t="s">
        <v>628</v>
      </c>
      <c r="J25" s="271"/>
      <c r="K25" s="271"/>
      <c r="L25" s="271"/>
      <c r="M25" s="271"/>
      <c r="N25" s="271"/>
      <c r="O25" s="271"/>
      <c r="P25" s="271"/>
      <c r="Q25" s="271"/>
      <c r="R25" s="486"/>
    </row>
    <row r="26" spans="1:18" s="163" customFormat="1" ht="20.25" customHeight="1">
      <c r="A26" s="220" t="s">
        <v>15</v>
      </c>
      <c r="B26" s="194" t="s">
        <v>535</v>
      </c>
      <c r="C26" s="136">
        <v>1096000000</v>
      </c>
      <c r="D26" s="136">
        <v>1509881240</v>
      </c>
      <c r="E26" s="475">
        <f t="shared" si="1"/>
        <v>413881240</v>
      </c>
      <c r="F26" s="476">
        <f t="shared" si="2"/>
        <v>1.3776288686131386</v>
      </c>
      <c r="G26" s="184"/>
      <c r="H26" s="271">
        <v>1447830650</v>
      </c>
      <c r="I26" s="271">
        <f>D26-H26</f>
        <v>62050590</v>
      </c>
      <c r="J26" s="271"/>
      <c r="K26" s="271"/>
      <c r="L26" s="271"/>
      <c r="M26" s="271"/>
      <c r="N26" s="271"/>
      <c r="O26" s="271"/>
      <c r="P26" s="271"/>
      <c r="Q26" s="271"/>
      <c r="R26" s="486"/>
    </row>
    <row r="27" spans="1:18" s="163" customFormat="1" ht="20.25" customHeight="1">
      <c r="A27" s="220" t="s">
        <v>15</v>
      </c>
      <c r="B27" s="194" t="s">
        <v>536</v>
      </c>
      <c r="C27" s="136">
        <v>1557000000</v>
      </c>
      <c r="D27" s="136">
        <v>2744001000</v>
      </c>
      <c r="E27" s="475">
        <f t="shared" si="1"/>
        <v>1187001000</v>
      </c>
      <c r="F27" s="476">
        <f t="shared" si="2"/>
        <v>1.762364161849711</v>
      </c>
      <c r="G27" s="184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486"/>
    </row>
    <row r="28" spans="1:18" s="163" customFormat="1" ht="20.25" customHeight="1">
      <c r="A28" s="220" t="s">
        <v>15</v>
      </c>
      <c r="B28" s="194" t="s">
        <v>537</v>
      </c>
      <c r="C28" s="136">
        <v>1693000000</v>
      </c>
      <c r="D28" s="136">
        <v>2403975000</v>
      </c>
      <c r="E28" s="475">
        <f t="shared" si="1"/>
        <v>710975000</v>
      </c>
      <c r="F28" s="476">
        <f t="shared" si="2"/>
        <v>1.419949793266391</v>
      </c>
      <c r="G28" s="184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486"/>
    </row>
    <row r="29" spans="1:18" s="163" customFormat="1" ht="20.25" customHeight="1">
      <c r="A29" s="220" t="s">
        <v>15</v>
      </c>
      <c r="B29" s="194" t="s">
        <v>538</v>
      </c>
      <c r="C29" s="136">
        <v>2164000000</v>
      </c>
      <c r="D29" s="136">
        <v>1309351000</v>
      </c>
      <c r="E29" s="475">
        <f t="shared" si="1"/>
        <v>-854649000</v>
      </c>
      <c r="F29" s="476">
        <f t="shared" si="2"/>
        <v>0.6050605360443623</v>
      </c>
      <c r="G29" s="162"/>
      <c r="H29" s="389"/>
      <c r="I29" s="271"/>
      <c r="J29" s="271"/>
      <c r="K29" s="271"/>
      <c r="L29" s="271"/>
      <c r="M29" s="271"/>
      <c r="N29" s="271"/>
      <c r="O29" s="271"/>
      <c r="P29" s="271"/>
      <c r="Q29" s="271"/>
      <c r="R29" s="486"/>
    </row>
    <row r="30" spans="1:18" s="163" customFormat="1" ht="20.25" customHeight="1">
      <c r="A30" s="220" t="s">
        <v>15</v>
      </c>
      <c r="B30" s="194" t="s">
        <v>539</v>
      </c>
      <c r="C30" s="136">
        <v>948000000</v>
      </c>
      <c r="D30" s="136">
        <v>3109500000</v>
      </c>
      <c r="E30" s="475">
        <f t="shared" si="1"/>
        <v>2161500000</v>
      </c>
      <c r="F30" s="476">
        <f t="shared" si="2"/>
        <v>3.2800632911392404</v>
      </c>
      <c r="G30" s="162"/>
      <c r="H30" s="389"/>
      <c r="I30" s="271"/>
      <c r="J30" s="271"/>
      <c r="K30" s="271"/>
      <c r="L30" s="271"/>
      <c r="M30" s="271"/>
      <c r="N30" s="271"/>
      <c r="O30" s="271"/>
      <c r="P30" s="271"/>
      <c r="Q30" s="271"/>
      <c r="R30" s="486"/>
    </row>
    <row r="31" spans="1:18" s="163" customFormat="1" ht="20.25" customHeight="1">
      <c r="A31" s="220" t="s">
        <v>15</v>
      </c>
      <c r="B31" s="194" t="s">
        <v>179</v>
      </c>
      <c r="C31" s="136">
        <v>3089000000</v>
      </c>
      <c r="D31" s="136">
        <v>77728440377</v>
      </c>
      <c r="E31" s="475">
        <f t="shared" si="1"/>
        <v>74639440377</v>
      </c>
      <c r="F31" s="476">
        <f t="shared" si="2"/>
        <v>25.162978432178697</v>
      </c>
      <c r="G31" s="162"/>
      <c r="H31" s="271">
        <v>81607478377</v>
      </c>
      <c r="I31" s="271">
        <f>D31-H31</f>
        <v>-3879038000</v>
      </c>
      <c r="J31" s="271">
        <f>I31-I27</f>
        <v>-3879038000</v>
      </c>
      <c r="K31" s="271"/>
      <c r="L31" s="271"/>
      <c r="M31" s="271"/>
      <c r="N31" s="271"/>
      <c r="O31" s="271"/>
      <c r="P31" s="271"/>
      <c r="Q31" s="271"/>
      <c r="R31" s="486"/>
    </row>
    <row r="32" spans="1:18" s="22" customFormat="1" ht="20.25" customHeight="1">
      <c r="A32" s="220" t="s">
        <v>15</v>
      </c>
      <c r="B32" s="194" t="s">
        <v>540</v>
      </c>
      <c r="C32" s="136">
        <v>65408686000</v>
      </c>
      <c r="D32" s="136">
        <v>492763031</v>
      </c>
      <c r="E32" s="475">
        <f t="shared" si="1"/>
        <v>-64915922969</v>
      </c>
      <c r="F32" s="476">
        <f t="shared" si="2"/>
        <v>0.00753360235672675</v>
      </c>
      <c r="G32" s="162"/>
      <c r="H32" s="389"/>
      <c r="I32" s="271"/>
      <c r="J32" s="271"/>
      <c r="K32" s="271"/>
      <c r="L32" s="271"/>
      <c r="M32" s="271"/>
      <c r="N32" s="271"/>
      <c r="O32" s="271"/>
      <c r="P32" s="271"/>
      <c r="Q32" s="271"/>
      <c r="R32" s="143"/>
    </row>
    <row r="33" spans="1:18" s="22" customFormat="1" ht="20.25" customHeight="1">
      <c r="A33" s="220" t="s">
        <v>15</v>
      </c>
      <c r="B33" s="194" t="s">
        <v>543</v>
      </c>
      <c r="C33" s="136">
        <v>29563000000</v>
      </c>
      <c r="D33" s="136">
        <v>30504834304</v>
      </c>
      <c r="E33" s="475">
        <f t="shared" si="1"/>
        <v>941834304</v>
      </c>
      <c r="F33" s="476">
        <f t="shared" si="2"/>
        <v>1.0318585496735784</v>
      </c>
      <c r="G33" s="162"/>
      <c r="H33" s="271" t="s">
        <v>627</v>
      </c>
      <c r="I33" s="271" t="s">
        <v>628</v>
      </c>
      <c r="J33" s="271"/>
      <c r="K33" s="271"/>
      <c r="L33" s="271"/>
      <c r="M33" s="271"/>
      <c r="N33" s="271"/>
      <c r="O33" s="271"/>
      <c r="P33" s="271"/>
      <c r="Q33" s="271"/>
      <c r="R33" s="143"/>
    </row>
    <row r="34" spans="1:18" s="22" customFormat="1" ht="20.25" customHeight="1">
      <c r="A34" s="220" t="s">
        <v>15</v>
      </c>
      <c r="B34" s="194" t="s">
        <v>541</v>
      </c>
      <c r="C34" s="136">
        <v>31853000000</v>
      </c>
      <c r="D34" s="136">
        <f>36799958679-9611194560+50518919</f>
        <v>27239283038</v>
      </c>
      <c r="E34" s="475">
        <f t="shared" si="1"/>
        <v>-4613716962</v>
      </c>
      <c r="F34" s="476">
        <f t="shared" si="2"/>
        <v>0.8551559676639563</v>
      </c>
      <c r="G34" s="162"/>
      <c r="H34" s="271">
        <v>36862009269</v>
      </c>
      <c r="I34" s="271">
        <f>D34-H34</f>
        <v>-9622726231</v>
      </c>
      <c r="J34" s="271"/>
      <c r="K34" s="271"/>
      <c r="L34" s="271"/>
      <c r="M34" s="271"/>
      <c r="N34" s="271"/>
      <c r="O34" s="271"/>
      <c r="P34" s="271"/>
      <c r="Q34" s="271"/>
      <c r="R34" s="143"/>
    </row>
    <row r="35" spans="1:18" s="22" customFormat="1" ht="20.25" customHeight="1">
      <c r="A35" s="220" t="s">
        <v>15</v>
      </c>
      <c r="B35" s="194" t="s">
        <v>542</v>
      </c>
      <c r="C35" s="136">
        <v>2041314000</v>
      </c>
      <c r="D35" s="136">
        <v>423887180</v>
      </c>
      <c r="E35" s="475">
        <f t="shared" si="1"/>
        <v>-1617426820</v>
      </c>
      <c r="F35" s="476">
        <f t="shared" si="2"/>
        <v>0.20765407967613017</v>
      </c>
      <c r="G35" s="162"/>
      <c r="H35" s="389"/>
      <c r="I35" s="271"/>
      <c r="J35" s="271"/>
      <c r="K35" s="271"/>
      <c r="L35" s="271"/>
      <c r="M35" s="271"/>
      <c r="N35" s="271"/>
      <c r="O35" s="271"/>
      <c r="P35" s="271"/>
      <c r="Q35" s="271"/>
      <c r="R35" s="143"/>
    </row>
    <row r="36" spans="1:18" s="483" customFormat="1" ht="20.25" customHeight="1">
      <c r="A36" s="216" t="s">
        <v>20</v>
      </c>
      <c r="B36" s="217" t="s">
        <v>28</v>
      </c>
      <c r="C36" s="135">
        <v>9790000000</v>
      </c>
      <c r="D36" s="300"/>
      <c r="E36" s="473">
        <f t="shared" si="1"/>
        <v>-9790000000</v>
      </c>
      <c r="F36" s="474"/>
      <c r="G36" s="482"/>
      <c r="H36" s="236"/>
      <c r="I36" s="271"/>
      <c r="J36" s="288"/>
      <c r="K36" s="288"/>
      <c r="L36" s="288"/>
      <c r="M36" s="288"/>
      <c r="N36" s="288"/>
      <c r="O36" s="288"/>
      <c r="P36" s="288"/>
      <c r="Q36" s="288"/>
      <c r="R36" s="272"/>
    </row>
    <row r="37" spans="1:18" s="22" customFormat="1" ht="20.25" customHeight="1">
      <c r="A37" s="216" t="s">
        <v>21</v>
      </c>
      <c r="B37" s="217" t="s">
        <v>70</v>
      </c>
      <c r="C37" s="219"/>
      <c r="D37" s="219"/>
      <c r="E37" s="473">
        <f t="shared" si="1"/>
        <v>0</v>
      </c>
      <c r="F37" s="476"/>
      <c r="G37" s="162"/>
      <c r="H37" s="389"/>
      <c r="I37" s="271"/>
      <c r="J37" s="271"/>
      <c r="K37" s="271"/>
      <c r="L37" s="271"/>
      <c r="M37" s="271"/>
      <c r="N37" s="271"/>
      <c r="O37" s="271"/>
      <c r="P37" s="271"/>
      <c r="Q37" s="271"/>
      <c r="R37" s="143"/>
    </row>
    <row r="38" spans="1:18" s="22" customFormat="1" ht="20.25" customHeight="1">
      <c r="A38" s="216" t="s">
        <v>23</v>
      </c>
      <c r="B38" s="217" t="s">
        <v>355</v>
      </c>
      <c r="C38" s="219"/>
      <c r="D38" s="135">
        <v>5574053860</v>
      </c>
      <c r="E38" s="473">
        <f t="shared" si="1"/>
        <v>5574053860</v>
      </c>
      <c r="F38" s="476"/>
      <c r="G38" s="162"/>
      <c r="H38" s="389"/>
      <c r="I38" s="271"/>
      <c r="J38" s="271"/>
      <c r="K38" s="271"/>
      <c r="L38" s="271"/>
      <c r="M38" s="271"/>
      <c r="N38" s="271"/>
      <c r="O38" s="271"/>
      <c r="P38" s="271"/>
      <c r="Q38" s="271"/>
      <c r="R38" s="143"/>
    </row>
    <row r="39" spans="1:18" s="22" customFormat="1" ht="20.25" customHeight="1">
      <c r="A39" s="224" t="s">
        <v>351</v>
      </c>
      <c r="B39" s="225" t="s">
        <v>90</v>
      </c>
      <c r="C39" s="566"/>
      <c r="D39" s="277">
        <v>45187635202</v>
      </c>
      <c r="E39" s="567">
        <f t="shared" si="1"/>
        <v>45187635202</v>
      </c>
      <c r="F39" s="568"/>
      <c r="G39" s="162"/>
      <c r="H39" s="389"/>
      <c r="I39" s="271"/>
      <c r="J39" s="271"/>
      <c r="K39" s="271"/>
      <c r="L39" s="271"/>
      <c r="M39" s="271"/>
      <c r="N39" s="271"/>
      <c r="O39" s="271"/>
      <c r="P39" s="271"/>
      <c r="Q39" s="271"/>
      <c r="R39" s="143"/>
    </row>
    <row r="40" spans="1:4" ht="18.75">
      <c r="A40" s="22"/>
      <c r="B40" s="22"/>
      <c r="C40" s="22"/>
      <c r="D40" s="22"/>
    </row>
  </sheetData>
  <sheetProtection/>
  <mergeCells count="10">
    <mergeCell ref="F6:F7"/>
    <mergeCell ref="A2:F2"/>
    <mergeCell ref="A3:F3"/>
    <mergeCell ref="D4:F4"/>
    <mergeCell ref="C5:C7"/>
    <mergeCell ref="D5:D7"/>
    <mergeCell ref="E5:F5"/>
    <mergeCell ref="A5:A7"/>
    <mergeCell ref="B5:B7"/>
    <mergeCell ref="E6:E7"/>
  </mergeCells>
  <printOptions/>
  <pageMargins left="0.6" right="0" top="0.69" bottom="0" header="0.6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3"/>
  <sheetViews>
    <sheetView zoomScale="110" zoomScaleNormal="110" zoomScalePageLayoutView="0" workbookViewId="0" topLeftCell="A55">
      <selection activeCell="D55" sqref="D55"/>
    </sheetView>
  </sheetViews>
  <sheetFormatPr defaultColWidth="8.796875" defaultRowHeight="15"/>
  <cols>
    <col min="1" max="1" width="3.796875" style="144" customWidth="1"/>
    <col min="2" max="2" width="33.296875" style="144" customWidth="1"/>
    <col min="3" max="3" width="13" style="144" customWidth="1"/>
    <col min="4" max="6" width="12.8984375" style="144" customWidth="1"/>
    <col min="7" max="7" width="13.09765625" style="144" customWidth="1"/>
    <col min="8" max="8" width="12.8984375" style="144" customWidth="1"/>
    <col min="9" max="9" width="6.296875" style="144" customWidth="1"/>
    <col min="10" max="10" width="6.796875" style="144" customWidth="1"/>
    <col min="11" max="11" width="6.3984375" style="144" customWidth="1"/>
    <col min="12" max="12" width="8.796875" style="144" customWidth="1"/>
    <col min="13" max="13" width="14.3984375" style="184" hidden="1" customWidth="1"/>
    <col min="14" max="14" width="12.3984375" style="184" hidden="1" customWidth="1"/>
    <col min="15" max="15" width="12.3984375" style="144" customWidth="1"/>
    <col min="16" max="16384" width="9" style="144" customWidth="1"/>
  </cols>
  <sheetData>
    <row r="1" spans="1:12" ht="19.5" customHeight="1">
      <c r="A1" s="152"/>
      <c r="B1" s="152"/>
      <c r="C1" s="153"/>
      <c r="D1" s="154"/>
      <c r="E1" s="153"/>
      <c r="F1" s="154"/>
      <c r="G1" s="154"/>
      <c r="H1" s="153"/>
      <c r="I1" s="637" t="s">
        <v>124</v>
      </c>
      <c r="J1" s="637"/>
      <c r="K1" s="637"/>
      <c r="L1" s="165"/>
    </row>
    <row r="2" spans="1:12" ht="21.75" customHeight="1">
      <c r="A2" s="152" t="s">
        <v>140</v>
      </c>
      <c r="B2" s="154"/>
      <c r="C2" s="215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18" customHeight="1">
      <c r="A3" s="152" t="s">
        <v>517</v>
      </c>
      <c r="B3" s="154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22.5" customHeight="1">
      <c r="A4" s="248" t="str">
        <f>'Biểu 48'!A3</f>
        <v>(Kèm theo Nghị quyết số          /2019/NQ-HĐND ngày         /      /2019 của HĐND huyện Tuần Giáo)</v>
      </c>
      <c r="B4" s="140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 ht="15" customHeight="1">
      <c r="A5" s="157"/>
      <c r="B5" s="157"/>
      <c r="C5" s="22"/>
      <c r="D5" s="183"/>
      <c r="E5" s="22"/>
      <c r="G5" s="274"/>
      <c r="H5" s="274"/>
      <c r="I5" s="638" t="s">
        <v>276</v>
      </c>
      <c r="J5" s="638"/>
      <c r="K5" s="638"/>
      <c r="L5" s="541"/>
    </row>
    <row r="6" spans="1:13" s="143" customFormat="1" ht="15.75" customHeight="1">
      <c r="A6" s="629" t="s">
        <v>61</v>
      </c>
      <c r="B6" s="629" t="s">
        <v>137</v>
      </c>
      <c r="C6" s="635" t="s">
        <v>55</v>
      </c>
      <c r="D6" s="636" t="s">
        <v>37</v>
      </c>
      <c r="E6" s="636"/>
      <c r="F6" s="635" t="s">
        <v>60</v>
      </c>
      <c r="G6" s="636" t="s">
        <v>37</v>
      </c>
      <c r="H6" s="636"/>
      <c r="I6" s="636" t="s">
        <v>87</v>
      </c>
      <c r="J6" s="636"/>
      <c r="K6" s="636"/>
      <c r="L6" s="542"/>
      <c r="M6" s="184" t="s">
        <v>617</v>
      </c>
    </row>
    <row r="7" spans="1:14" s="143" customFormat="1" ht="10.5" customHeight="1">
      <c r="A7" s="631"/>
      <c r="B7" s="631"/>
      <c r="C7" s="633"/>
      <c r="D7" s="632" t="s">
        <v>138</v>
      </c>
      <c r="E7" s="632" t="s">
        <v>139</v>
      </c>
      <c r="F7" s="633"/>
      <c r="G7" s="632" t="s">
        <v>138</v>
      </c>
      <c r="H7" s="632" t="s">
        <v>139</v>
      </c>
      <c r="I7" s="632" t="s">
        <v>141</v>
      </c>
      <c r="J7" s="632" t="s">
        <v>138</v>
      </c>
      <c r="K7" s="632" t="s">
        <v>139</v>
      </c>
      <c r="L7" s="543"/>
      <c r="M7" s="271"/>
      <c r="N7" s="271"/>
    </row>
    <row r="8" spans="1:14" s="143" customFormat="1" ht="10.5" customHeight="1">
      <c r="A8" s="631"/>
      <c r="B8" s="631"/>
      <c r="C8" s="633"/>
      <c r="D8" s="633"/>
      <c r="E8" s="633"/>
      <c r="F8" s="633"/>
      <c r="G8" s="633"/>
      <c r="H8" s="633"/>
      <c r="I8" s="633" t="s">
        <v>40</v>
      </c>
      <c r="J8" s="633"/>
      <c r="K8" s="633"/>
      <c r="L8" s="543"/>
      <c r="M8" s="271"/>
      <c r="N8" s="271"/>
    </row>
    <row r="9" spans="1:14" s="143" customFormat="1" ht="10.5" customHeight="1">
      <c r="A9" s="631"/>
      <c r="B9" s="631"/>
      <c r="C9" s="633"/>
      <c r="D9" s="633"/>
      <c r="E9" s="633"/>
      <c r="F9" s="633"/>
      <c r="G9" s="633"/>
      <c r="H9" s="633"/>
      <c r="I9" s="633" t="s">
        <v>44</v>
      </c>
      <c r="J9" s="633"/>
      <c r="K9" s="633"/>
      <c r="L9" s="543"/>
      <c r="M9" s="271">
        <f>M10+M11</f>
        <v>757194352478</v>
      </c>
      <c r="N9" s="271">
        <f>M9-'Biểu 49'!D20</f>
        <v>0</v>
      </c>
    </row>
    <row r="10" spans="1:14" s="143" customFormat="1" ht="10.5" customHeight="1">
      <c r="A10" s="630"/>
      <c r="B10" s="630"/>
      <c r="C10" s="634"/>
      <c r="D10" s="634"/>
      <c r="E10" s="634"/>
      <c r="F10" s="634"/>
      <c r="G10" s="634"/>
      <c r="H10" s="634"/>
      <c r="I10" s="634" t="s">
        <v>45</v>
      </c>
      <c r="J10" s="634"/>
      <c r="K10" s="634"/>
      <c r="L10" s="543"/>
      <c r="M10" s="271">
        <f>'Biểu 49'!D22</f>
        <v>120798698262</v>
      </c>
      <c r="N10" s="271"/>
    </row>
    <row r="11" spans="1:14" s="185" customFormat="1" ht="14.25" customHeight="1">
      <c r="A11" s="164" t="s">
        <v>9</v>
      </c>
      <c r="B11" s="164" t="s">
        <v>10</v>
      </c>
      <c r="C11" s="164" t="s">
        <v>39</v>
      </c>
      <c r="D11" s="164">
        <v>2</v>
      </c>
      <c r="E11" s="164">
        <f>D11+1</f>
        <v>3</v>
      </c>
      <c r="F11" s="164" t="s">
        <v>41</v>
      </c>
      <c r="G11" s="164">
        <v>5</v>
      </c>
      <c r="H11" s="164">
        <f>G11+1</f>
        <v>6</v>
      </c>
      <c r="I11" s="164" t="s">
        <v>46</v>
      </c>
      <c r="J11" s="164" t="s">
        <v>47</v>
      </c>
      <c r="K11" s="164" t="s">
        <v>48</v>
      </c>
      <c r="L11" s="363"/>
      <c r="M11" s="287">
        <f>'Biểu 55'!D11+'Biểu 56'!D10</f>
        <v>636395654216</v>
      </c>
      <c r="N11" s="287">
        <f>G12-M11</f>
        <v>0</v>
      </c>
    </row>
    <row r="12" spans="1:15" s="143" customFormat="1" ht="21" customHeight="1">
      <c r="A12" s="285"/>
      <c r="B12" s="286" t="s">
        <v>102</v>
      </c>
      <c r="C12" s="141">
        <f>C13+C27+C62</f>
        <v>679098000000</v>
      </c>
      <c r="D12" s="141">
        <f>D13+D27+D61+D62</f>
        <v>575440200000</v>
      </c>
      <c r="E12" s="141">
        <f>E13+E27+E61+E62</f>
        <v>103657800000</v>
      </c>
      <c r="F12" s="141">
        <f>F13+F27+F61+F62</f>
        <v>770488774343</v>
      </c>
      <c r="G12" s="141">
        <f>G13+G27+G61+G62</f>
        <v>636395654216</v>
      </c>
      <c r="H12" s="141">
        <f>H13+H27+H61+H62</f>
        <v>134093120127</v>
      </c>
      <c r="I12" s="226">
        <f aca="true" t="shared" si="0" ref="I12:K15">F12/C12</f>
        <v>1.134576709610395</v>
      </c>
      <c r="J12" s="226">
        <f t="shared" si="0"/>
        <v>1.1059283905017412</v>
      </c>
      <c r="K12" s="226">
        <f t="shared" si="0"/>
        <v>1.2936134099604661</v>
      </c>
      <c r="L12" s="544"/>
      <c r="M12" s="271">
        <f>'Biểu 54'!CS12</f>
        <v>636395654216</v>
      </c>
      <c r="N12" s="271">
        <f>M12-G12</f>
        <v>0</v>
      </c>
      <c r="O12" s="271"/>
    </row>
    <row r="13" spans="1:14" s="143" customFormat="1" ht="17.25" customHeight="1">
      <c r="A13" s="216" t="s">
        <v>9</v>
      </c>
      <c r="B13" s="217" t="s">
        <v>107</v>
      </c>
      <c r="C13" s="135">
        <f aca="true" t="shared" si="1" ref="C13:H13">C14+C21+C25+C26</f>
        <v>592002000000</v>
      </c>
      <c r="D13" s="135">
        <f t="shared" si="1"/>
        <v>502280000000</v>
      </c>
      <c r="E13" s="135">
        <f t="shared" si="1"/>
        <v>89722000000</v>
      </c>
      <c r="F13" s="135">
        <f t="shared" si="1"/>
        <v>608766958247</v>
      </c>
      <c r="G13" s="135">
        <f>G14+G21+G25+G26</f>
        <v>519112747569</v>
      </c>
      <c r="H13" s="135">
        <f t="shared" si="1"/>
        <v>89654210678</v>
      </c>
      <c r="I13" s="226">
        <f t="shared" si="0"/>
        <v>1.0283190905554374</v>
      </c>
      <c r="J13" s="226">
        <f t="shared" si="0"/>
        <v>1.0335126773293781</v>
      </c>
      <c r="K13" s="226">
        <f t="shared" si="0"/>
        <v>0.9992444515057622</v>
      </c>
      <c r="L13" s="544"/>
      <c r="M13" s="271">
        <f>'Biểu 55'!D12+'Biểu 56'!D11-'Biểu 55'!K12-'Biểu 55'!L12-'Biểu 56'!V11-'Biểu 56'!W11</f>
        <v>519112747569</v>
      </c>
      <c r="N13" s="271">
        <f>M13-G13</f>
        <v>0</v>
      </c>
    </row>
    <row r="14" spans="1:14" s="143" customFormat="1" ht="17.25" customHeight="1">
      <c r="A14" s="216" t="s">
        <v>18</v>
      </c>
      <c r="B14" s="217" t="s">
        <v>33</v>
      </c>
      <c r="C14" s="135">
        <f aca="true" t="shared" si="2" ref="C14:H14">C15</f>
        <v>20400000000</v>
      </c>
      <c r="D14" s="135">
        <f t="shared" si="2"/>
        <v>13225000000</v>
      </c>
      <c r="E14" s="135">
        <f t="shared" si="2"/>
        <v>7175000000</v>
      </c>
      <c r="F14" s="135">
        <f t="shared" si="2"/>
        <v>14050731600</v>
      </c>
      <c r="G14" s="135">
        <f t="shared" si="2"/>
        <v>8567379000</v>
      </c>
      <c r="H14" s="135">
        <f t="shared" si="2"/>
        <v>5483352600</v>
      </c>
      <c r="I14" s="226">
        <f t="shared" si="0"/>
        <v>0.6887613529411765</v>
      </c>
      <c r="J14" s="226">
        <f t="shared" si="0"/>
        <v>0.6478169376181474</v>
      </c>
      <c r="K14" s="226">
        <f t="shared" si="0"/>
        <v>0.7642303275261324</v>
      </c>
      <c r="L14" s="544"/>
      <c r="M14" s="271">
        <f>'Biểu 55'!D12-'Biểu 55'!K12-'Biểu 55'!L12</f>
        <v>8567379000</v>
      </c>
      <c r="N14" s="271">
        <f>M14-G14</f>
        <v>0</v>
      </c>
    </row>
    <row r="15" spans="1:14" s="143" customFormat="1" ht="17.25" customHeight="1">
      <c r="A15" s="218">
        <v>1</v>
      </c>
      <c r="B15" s="194" t="s">
        <v>69</v>
      </c>
      <c r="C15" s="136">
        <f aca="true" t="shared" si="3" ref="C15:H15">C20</f>
        <v>20400000000</v>
      </c>
      <c r="D15" s="136">
        <f t="shared" si="3"/>
        <v>13225000000</v>
      </c>
      <c r="E15" s="136">
        <f t="shared" si="3"/>
        <v>7175000000</v>
      </c>
      <c r="F15" s="136">
        <f t="shared" si="3"/>
        <v>14050731600</v>
      </c>
      <c r="G15" s="136">
        <f t="shared" si="3"/>
        <v>8567379000</v>
      </c>
      <c r="H15" s="136">
        <f t="shared" si="3"/>
        <v>5483352600</v>
      </c>
      <c r="I15" s="175">
        <f t="shared" si="0"/>
        <v>0.6887613529411765</v>
      </c>
      <c r="J15" s="175">
        <f t="shared" si="0"/>
        <v>0.6478169376181474</v>
      </c>
      <c r="K15" s="175">
        <f t="shared" si="0"/>
        <v>0.7642303275261324</v>
      </c>
      <c r="L15" s="545"/>
      <c r="M15" s="271"/>
      <c r="N15" s="271"/>
    </row>
    <row r="16" spans="1:14" s="143" customFormat="1" ht="17.25" customHeight="1">
      <c r="A16" s="218"/>
      <c r="B16" s="194" t="s">
        <v>135</v>
      </c>
      <c r="C16" s="136"/>
      <c r="D16" s="136"/>
      <c r="E16" s="135"/>
      <c r="F16" s="136">
        <f aca="true" t="shared" si="4" ref="F16:F21">G16+H16</f>
        <v>0</v>
      </c>
      <c r="G16" s="136"/>
      <c r="H16" s="136"/>
      <c r="I16" s="175"/>
      <c r="J16" s="175"/>
      <c r="K16" s="175"/>
      <c r="L16" s="545"/>
      <c r="M16" s="271"/>
      <c r="N16" s="271"/>
    </row>
    <row r="17" spans="1:14" s="143" customFormat="1" ht="17.25" customHeight="1">
      <c r="A17" s="220" t="s">
        <v>15</v>
      </c>
      <c r="B17" s="194" t="s">
        <v>133</v>
      </c>
      <c r="C17" s="136"/>
      <c r="D17" s="136"/>
      <c r="E17" s="135"/>
      <c r="F17" s="136">
        <f t="shared" si="4"/>
        <v>0</v>
      </c>
      <c r="G17" s="136"/>
      <c r="H17" s="136"/>
      <c r="I17" s="175"/>
      <c r="J17" s="175"/>
      <c r="K17" s="175"/>
      <c r="L17" s="545"/>
      <c r="M17" s="271"/>
      <c r="N17" s="271"/>
    </row>
    <row r="18" spans="1:14" s="143" customFormat="1" ht="17.25" customHeight="1">
      <c r="A18" s="220" t="s">
        <v>166</v>
      </c>
      <c r="B18" s="194" t="s">
        <v>79</v>
      </c>
      <c r="C18" s="136"/>
      <c r="D18" s="136"/>
      <c r="E18" s="135"/>
      <c r="F18" s="136">
        <f t="shared" si="4"/>
        <v>0</v>
      </c>
      <c r="G18" s="136"/>
      <c r="H18" s="136"/>
      <c r="I18" s="175"/>
      <c r="J18" s="175"/>
      <c r="K18" s="175"/>
      <c r="L18" s="545"/>
      <c r="M18" s="271"/>
      <c r="N18" s="271"/>
    </row>
    <row r="19" spans="1:14" s="143" customFormat="1" ht="17.25" customHeight="1">
      <c r="A19" s="218"/>
      <c r="B19" s="194" t="s">
        <v>136</v>
      </c>
      <c r="C19" s="136"/>
      <c r="D19" s="136"/>
      <c r="E19" s="135"/>
      <c r="F19" s="136">
        <f t="shared" si="4"/>
        <v>0</v>
      </c>
      <c r="G19" s="136"/>
      <c r="H19" s="136"/>
      <c r="I19" s="175"/>
      <c r="J19" s="175"/>
      <c r="K19" s="175"/>
      <c r="L19" s="545"/>
      <c r="M19" s="271"/>
      <c r="N19" s="271"/>
    </row>
    <row r="20" spans="1:14" s="143" customFormat="1" ht="17.25" customHeight="1">
      <c r="A20" s="220" t="s">
        <v>15</v>
      </c>
      <c r="B20" s="194" t="s">
        <v>26</v>
      </c>
      <c r="C20" s="136">
        <f>D20+E20</f>
        <v>20400000000</v>
      </c>
      <c r="D20" s="136">
        <v>13225000000</v>
      </c>
      <c r="E20" s="136">
        <v>7175000000</v>
      </c>
      <c r="F20" s="136">
        <f t="shared" si="4"/>
        <v>14050731600</v>
      </c>
      <c r="G20" s="136">
        <v>8567379000</v>
      </c>
      <c r="H20" s="136">
        <v>5483352600</v>
      </c>
      <c r="I20" s="175">
        <f aca="true" t="shared" si="5" ref="I20:K21">F20/C20</f>
        <v>0.6887613529411765</v>
      </c>
      <c r="J20" s="175">
        <f t="shared" si="5"/>
        <v>0.6478169376181474</v>
      </c>
      <c r="K20" s="175">
        <f t="shared" si="5"/>
        <v>0.7642303275261324</v>
      </c>
      <c r="L20" s="545"/>
      <c r="M20" s="271"/>
      <c r="N20" s="271"/>
    </row>
    <row r="21" spans="1:15" s="143" customFormat="1" ht="17.25" customHeight="1">
      <c r="A21" s="216" t="s">
        <v>19</v>
      </c>
      <c r="B21" s="217" t="s">
        <v>27</v>
      </c>
      <c r="C21" s="135">
        <f>D21+E21</f>
        <v>560214000000</v>
      </c>
      <c r="D21" s="135">
        <v>479265000000</v>
      </c>
      <c r="E21" s="135">
        <v>80949000000</v>
      </c>
      <c r="F21" s="135">
        <f t="shared" si="4"/>
        <v>594716226647</v>
      </c>
      <c r="G21" s="135">
        <f>510494849650+50518919</f>
        <v>510545368569</v>
      </c>
      <c r="H21" s="135">
        <v>84170858078</v>
      </c>
      <c r="I21" s="226">
        <f t="shared" si="5"/>
        <v>1.0615875837572786</v>
      </c>
      <c r="J21" s="226">
        <f t="shared" si="5"/>
        <v>1.0652673751870052</v>
      </c>
      <c r="K21" s="226">
        <f t="shared" si="5"/>
        <v>1.0398010855971043</v>
      </c>
      <c r="L21" s="544"/>
      <c r="M21" s="271">
        <f>'Biểu 56'!D11-'Biểu 56'!V11-'Biểu 56'!W11</f>
        <v>510545368569</v>
      </c>
      <c r="N21" s="271">
        <f>M21-G21</f>
        <v>0</v>
      </c>
      <c r="O21" s="271"/>
    </row>
    <row r="22" spans="1:14" s="143" customFormat="1" ht="17.25" customHeight="1">
      <c r="A22" s="218"/>
      <c r="B22" s="194" t="s">
        <v>32</v>
      </c>
      <c r="C22" s="136"/>
      <c r="D22" s="136"/>
      <c r="E22" s="136"/>
      <c r="F22" s="136"/>
      <c r="G22" s="136"/>
      <c r="H22" s="136"/>
      <c r="I22" s="175"/>
      <c r="J22" s="175"/>
      <c r="K22" s="175"/>
      <c r="L22" s="545"/>
      <c r="M22" s="271"/>
      <c r="N22" s="271"/>
    </row>
    <row r="23" spans="1:14" s="143" customFormat="1" ht="17.25" customHeight="1">
      <c r="A23" s="218">
        <v>1</v>
      </c>
      <c r="B23" s="194" t="s">
        <v>168</v>
      </c>
      <c r="C23" s="136">
        <f>D23+E23</f>
        <v>349542000000</v>
      </c>
      <c r="D23" s="136">
        <v>348305000000</v>
      </c>
      <c r="E23" s="136">
        <v>1237000000</v>
      </c>
      <c r="F23" s="136">
        <f>G23+H23</f>
        <v>362316403876</v>
      </c>
      <c r="G23" s="136">
        <v>361254404399</v>
      </c>
      <c r="H23" s="136">
        <v>1061999477</v>
      </c>
      <c r="I23" s="175">
        <f>F23/C23</f>
        <v>1.0365461199970247</v>
      </c>
      <c r="J23" s="175">
        <f>G23/D23</f>
        <v>1.0371783477096224</v>
      </c>
      <c r="K23" s="175">
        <f>H23/E23</f>
        <v>0.8585282756669361</v>
      </c>
      <c r="L23" s="545"/>
      <c r="M23" s="271">
        <f>'Biểu 56'!E11</f>
        <v>361254404399</v>
      </c>
      <c r="N23" s="271">
        <f>M23-G23</f>
        <v>0</v>
      </c>
    </row>
    <row r="24" spans="1:14" s="143" customFormat="1" ht="17.25" customHeight="1">
      <c r="A24" s="218">
        <v>2</v>
      </c>
      <c r="B24" s="194" t="s">
        <v>169</v>
      </c>
      <c r="C24" s="136">
        <f>D24+E24</f>
        <v>500000000</v>
      </c>
      <c r="D24" s="136">
        <v>500000000</v>
      </c>
      <c r="E24" s="136"/>
      <c r="F24" s="136">
        <f>G24+H24</f>
        <v>492763031</v>
      </c>
      <c r="G24" s="136">
        <v>492763031</v>
      </c>
      <c r="H24" s="135"/>
      <c r="I24" s="175">
        <f>F24/C24</f>
        <v>0.985526062</v>
      </c>
      <c r="J24" s="175">
        <f>G24/D24</f>
        <v>0.985526062</v>
      </c>
      <c r="K24" s="175"/>
      <c r="L24" s="545"/>
      <c r="M24" s="271">
        <f>'Biểu 56'!F11</f>
        <v>492763031</v>
      </c>
      <c r="N24" s="271">
        <f>M24-G24</f>
        <v>0</v>
      </c>
    </row>
    <row r="25" spans="1:14" s="143" customFormat="1" ht="17.25" customHeight="1">
      <c r="A25" s="216" t="s">
        <v>20</v>
      </c>
      <c r="B25" s="217" t="s">
        <v>28</v>
      </c>
      <c r="C25" s="135">
        <f>D25+E25</f>
        <v>11388000000</v>
      </c>
      <c r="D25" s="135">
        <v>9790000000</v>
      </c>
      <c r="E25" s="135">
        <v>1598000000</v>
      </c>
      <c r="F25" s="135">
        <f>G25+H25</f>
        <v>0</v>
      </c>
      <c r="G25" s="135"/>
      <c r="H25" s="135"/>
      <c r="I25" s="175"/>
      <c r="J25" s="175"/>
      <c r="K25" s="175"/>
      <c r="L25" s="545"/>
      <c r="M25" s="271"/>
      <c r="N25" s="271"/>
    </row>
    <row r="26" spans="1:14" s="143" customFormat="1" ht="17.25" customHeight="1">
      <c r="A26" s="216" t="s">
        <v>21</v>
      </c>
      <c r="B26" s="217" t="s">
        <v>70</v>
      </c>
      <c r="C26" s="221"/>
      <c r="D26" s="221"/>
      <c r="E26" s="135"/>
      <c r="F26" s="135"/>
      <c r="G26" s="135"/>
      <c r="H26" s="135"/>
      <c r="I26" s="175"/>
      <c r="J26" s="175"/>
      <c r="K26" s="175"/>
      <c r="L26" s="545"/>
      <c r="M26" s="271"/>
      <c r="N26" s="271"/>
    </row>
    <row r="27" spans="1:14" s="143" customFormat="1" ht="17.25" customHeight="1">
      <c r="A27" s="216" t="s">
        <v>10</v>
      </c>
      <c r="B27" s="222" t="s">
        <v>108</v>
      </c>
      <c r="C27" s="135">
        <f aca="true" t="shared" si="6" ref="C27:H27">C28+C47</f>
        <v>87096000000</v>
      </c>
      <c r="D27" s="135">
        <f t="shared" si="6"/>
        <v>73160200000</v>
      </c>
      <c r="E27" s="135">
        <f t="shared" si="6"/>
        <v>13935800000</v>
      </c>
      <c r="F27" s="135">
        <f t="shared" si="6"/>
        <v>102022453956</v>
      </c>
      <c r="G27" s="135">
        <f t="shared" si="6"/>
        <v>66521217585</v>
      </c>
      <c r="H27" s="135">
        <f t="shared" si="6"/>
        <v>35501236371</v>
      </c>
      <c r="I27" s="226">
        <f aca="true" t="shared" si="7" ref="I27:I32">F27/C27</f>
        <v>1.171379328051805</v>
      </c>
      <c r="J27" s="226">
        <f aca="true" t="shared" si="8" ref="J27:J32">G27/D27</f>
        <v>0.9092541789798279</v>
      </c>
      <c r="K27" s="226">
        <f aca="true" t="shared" si="9" ref="K27:K35">H27/E27</f>
        <v>2.5474846346101407</v>
      </c>
      <c r="L27" s="544"/>
      <c r="M27" s="271"/>
      <c r="N27" s="271"/>
    </row>
    <row r="28" spans="1:14" s="143" customFormat="1" ht="17.25" customHeight="1">
      <c r="A28" s="216" t="s">
        <v>18</v>
      </c>
      <c r="B28" s="217" t="s">
        <v>105</v>
      </c>
      <c r="C28" s="135">
        <f aca="true" t="shared" si="10" ref="C28:H28">C29+C39</f>
        <v>73223000000</v>
      </c>
      <c r="D28" s="135">
        <f t="shared" si="10"/>
        <v>59417200000</v>
      </c>
      <c r="E28" s="135">
        <f t="shared" si="10"/>
        <v>13805800000</v>
      </c>
      <c r="F28" s="135">
        <f t="shared" si="10"/>
        <v>79288479531</v>
      </c>
      <c r="G28" s="135">
        <f t="shared" si="10"/>
        <v>59717101100</v>
      </c>
      <c r="H28" s="135">
        <f t="shared" si="10"/>
        <v>19571378431</v>
      </c>
      <c r="I28" s="226">
        <f t="shared" si="7"/>
        <v>1.082835714611529</v>
      </c>
      <c r="J28" s="226">
        <f t="shared" si="8"/>
        <v>1.0050473785368546</v>
      </c>
      <c r="K28" s="226">
        <f t="shared" si="9"/>
        <v>1.4176200170218314</v>
      </c>
      <c r="L28" s="544"/>
      <c r="M28" s="271">
        <f>('Biểu 55'!D17-'Biểu 55'!K17-'Biểu 55'!L17)+('Biểu 56'!D39-'Biểu 56'!V39-'Biểu 56'!W39)</f>
        <v>59717101100</v>
      </c>
      <c r="N28" s="271">
        <f>M28-G28</f>
        <v>0</v>
      </c>
    </row>
    <row r="29" spans="1:14" s="143" customFormat="1" ht="17.25" customHeight="1">
      <c r="A29" s="216">
        <v>1</v>
      </c>
      <c r="B29" s="217" t="s">
        <v>189</v>
      </c>
      <c r="C29" s="135">
        <f aca="true" t="shared" si="11" ref="C29:H29">C30+C33+C38+C37</f>
        <v>40028000000</v>
      </c>
      <c r="D29" s="135">
        <f t="shared" si="11"/>
        <v>34540000000</v>
      </c>
      <c r="E29" s="135">
        <f t="shared" si="11"/>
        <v>5488000000</v>
      </c>
      <c r="F29" s="135">
        <f t="shared" si="11"/>
        <v>37170964500</v>
      </c>
      <c r="G29" s="135">
        <f t="shared" si="11"/>
        <v>25964723500</v>
      </c>
      <c r="H29" s="135">
        <f t="shared" si="11"/>
        <v>11206241000</v>
      </c>
      <c r="I29" s="226">
        <f t="shared" si="7"/>
        <v>0.9286240756470471</v>
      </c>
      <c r="J29" s="226">
        <f t="shared" si="8"/>
        <v>0.7517291111754487</v>
      </c>
      <c r="K29" s="226">
        <f t="shared" si="9"/>
        <v>2.0419535349854225</v>
      </c>
      <c r="L29" s="544"/>
      <c r="M29" s="271"/>
      <c r="N29" s="271"/>
    </row>
    <row r="30" spans="1:14" s="143" customFormat="1" ht="17.25" customHeight="1">
      <c r="A30" s="220" t="s">
        <v>15</v>
      </c>
      <c r="B30" s="194" t="s">
        <v>357</v>
      </c>
      <c r="C30" s="136">
        <f aca="true" t="shared" si="12" ref="C30:H30">SUM(C31:C32)</f>
        <v>17572000000</v>
      </c>
      <c r="D30" s="136">
        <f t="shared" si="12"/>
        <v>17572000000</v>
      </c>
      <c r="E30" s="136">
        <f t="shared" si="12"/>
        <v>0</v>
      </c>
      <c r="F30" s="136">
        <f t="shared" si="12"/>
        <v>8877282500</v>
      </c>
      <c r="G30" s="136">
        <f t="shared" si="12"/>
        <v>3303321500</v>
      </c>
      <c r="H30" s="136">
        <f t="shared" si="12"/>
        <v>5573961000</v>
      </c>
      <c r="I30" s="175">
        <f t="shared" si="7"/>
        <v>0.5051947700887776</v>
      </c>
      <c r="J30" s="175">
        <f t="shared" si="8"/>
        <v>0.18798779307989985</v>
      </c>
      <c r="K30" s="175"/>
      <c r="L30" s="544"/>
      <c r="M30" s="271"/>
      <c r="N30" s="271"/>
    </row>
    <row r="31" spans="1:14" s="143" customFormat="1" ht="17.25" customHeight="1">
      <c r="A31" s="218"/>
      <c r="B31" s="268" t="s">
        <v>523</v>
      </c>
      <c r="C31" s="136">
        <f>D31+E31</f>
        <v>16454000000</v>
      </c>
      <c r="D31" s="136">
        <v>16454000000</v>
      </c>
      <c r="E31" s="136"/>
      <c r="F31" s="136">
        <f>G31+H31</f>
        <v>7715319500</v>
      </c>
      <c r="G31" s="136">
        <v>2141358500</v>
      </c>
      <c r="H31" s="136">
        <v>5573961000</v>
      </c>
      <c r="I31" s="175">
        <f t="shared" si="7"/>
        <v>0.46890236416676795</v>
      </c>
      <c r="J31" s="175">
        <f t="shared" si="8"/>
        <v>0.13014212349580648</v>
      </c>
      <c r="K31" s="175"/>
      <c r="L31" s="544"/>
      <c r="M31" s="468" t="s">
        <v>616</v>
      </c>
      <c r="N31" s="271"/>
    </row>
    <row r="32" spans="1:14" s="143" customFormat="1" ht="17.25" customHeight="1">
      <c r="A32" s="220"/>
      <c r="B32" s="268" t="s">
        <v>522</v>
      </c>
      <c r="C32" s="136">
        <f>D32+E32</f>
        <v>1118000000</v>
      </c>
      <c r="D32" s="136">
        <v>1118000000</v>
      </c>
      <c r="E32" s="136"/>
      <c r="F32" s="136">
        <f>G32+H32</f>
        <v>1161963000</v>
      </c>
      <c r="G32" s="136">
        <v>1161963000</v>
      </c>
      <c r="H32" s="136"/>
      <c r="I32" s="175">
        <f t="shared" si="7"/>
        <v>1.0393228980322005</v>
      </c>
      <c r="J32" s="175">
        <f t="shared" si="8"/>
        <v>1.0393228980322005</v>
      </c>
      <c r="K32" s="175"/>
      <c r="L32" s="544"/>
      <c r="M32" s="468"/>
      <c r="N32" s="271"/>
    </row>
    <row r="33" spans="1:14" s="143" customFormat="1" ht="20.25" customHeight="1">
      <c r="A33" s="220" t="s">
        <v>15</v>
      </c>
      <c r="B33" s="194" t="s">
        <v>358</v>
      </c>
      <c r="C33" s="136">
        <f aca="true" t="shared" si="13" ref="C33:H33">SUM(C34:C36)</f>
        <v>22285000000</v>
      </c>
      <c r="D33" s="136">
        <f t="shared" si="13"/>
        <v>16797000000</v>
      </c>
      <c r="E33" s="136">
        <f t="shared" si="13"/>
        <v>5488000000</v>
      </c>
      <c r="F33" s="136">
        <f t="shared" si="13"/>
        <v>28122682000</v>
      </c>
      <c r="G33" s="136">
        <f t="shared" si="13"/>
        <v>22490402000</v>
      </c>
      <c r="H33" s="136">
        <f t="shared" si="13"/>
        <v>5632280000</v>
      </c>
      <c r="I33" s="175">
        <f>F33/C33</f>
        <v>1.261955665245681</v>
      </c>
      <c r="J33" s="175">
        <f>G33/D33</f>
        <v>1.3389535036018336</v>
      </c>
      <c r="K33" s="175">
        <f t="shared" si="9"/>
        <v>1.0262900874635568</v>
      </c>
      <c r="L33" s="544"/>
      <c r="M33" s="468"/>
      <c r="N33" s="271"/>
    </row>
    <row r="34" spans="1:14" s="143" customFormat="1" ht="31.5" customHeight="1">
      <c r="A34" s="218"/>
      <c r="B34" s="268" t="s">
        <v>524</v>
      </c>
      <c r="C34" s="136">
        <f>D34+E34</f>
        <v>16797000000</v>
      </c>
      <c r="D34" s="136">
        <v>16797000000</v>
      </c>
      <c r="E34" s="136"/>
      <c r="F34" s="136">
        <f>G34+H34</f>
        <v>22640402000</v>
      </c>
      <c r="G34" s="136">
        <v>22490402000</v>
      </c>
      <c r="H34" s="136">
        <v>150000000</v>
      </c>
      <c r="I34" s="175">
        <f aca="true" t="shared" si="14" ref="I34:I57">F34/C34</f>
        <v>1.347883669702923</v>
      </c>
      <c r="J34" s="175">
        <f aca="true" t="shared" si="15" ref="J34:J57">G34/D34</f>
        <v>1.3389535036018336</v>
      </c>
      <c r="K34" s="175"/>
      <c r="L34" s="544"/>
      <c r="M34" s="468" t="s">
        <v>616</v>
      </c>
      <c r="N34" s="271"/>
    </row>
    <row r="35" spans="1:14" s="143" customFormat="1" ht="21" customHeight="1">
      <c r="A35" s="220"/>
      <c r="B35" s="268" t="s">
        <v>522</v>
      </c>
      <c r="C35" s="136">
        <f>D35+E35</f>
        <v>1058000000</v>
      </c>
      <c r="D35" s="136"/>
      <c r="E35" s="136">
        <v>1058000000</v>
      </c>
      <c r="F35" s="136">
        <f>G35+H35</f>
        <v>1058000000</v>
      </c>
      <c r="G35" s="136"/>
      <c r="H35" s="136">
        <v>1058000000</v>
      </c>
      <c r="I35" s="175">
        <f t="shared" si="14"/>
        <v>1</v>
      </c>
      <c r="J35" s="175"/>
      <c r="K35" s="175">
        <f t="shared" si="9"/>
        <v>1</v>
      </c>
      <c r="L35" s="544"/>
      <c r="M35" s="271"/>
      <c r="N35" s="271"/>
    </row>
    <row r="36" spans="1:14" s="143" customFormat="1" ht="50.25" customHeight="1">
      <c r="A36" s="220"/>
      <c r="B36" s="195" t="s">
        <v>525</v>
      </c>
      <c r="C36" s="136">
        <f>D36+E36</f>
        <v>4430000000</v>
      </c>
      <c r="D36" s="136"/>
      <c r="E36" s="136">
        <v>4430000000</v>
      </c>
      <c r="F36" s="136">
        <f>G36+H36</f>
        <v>4424280000</v>
      </c>
      <c r="G36" s="136"/>
      <c r="H36" s="136">
        <v>4424280000</v>
      </c>
      <c r="I36" s="175">
        <f t="shared" si="14"/>
        <v>0.9987088036117382</v>
      </c>
      <c r="J36" s="175"/>
      <c r="K36" s="175">
        <f>H36/E36</f>
        <v>0.9987088036117382</v>
      </c>
      <c r="L36" s="544"/>
      <c r="M36" s="271"/>
      <c r="N36" s="271"/>
    </row>
    <row r="37" spans="1:14" s="143" customFormat="1" ht="20.25" customHeight="1">
      <c r="A37" s="220" t="s">
        <v>15</v>
      </c>
      <c r="B37" s="194" t="s">
        <v>360</v>
      </c>
      <c r="C37" s="136">
        <f>D37+E37</f>
        <v>76000000</v>
      </c>
      <c r="D37" s="136">
        <v>76000000</v>
      </c>
      <c r="E37" s="136"/>
      <c r="F37" s="136">
        <f>G37+H37</f>
        <v>76000000</v>
      </c>
      <c r="G37" s="136">
        <v>76000000</v>
      </c>
      <c r="H37" s="136"/>
      <c r="I37" s="175">
        <f t="shared" si="14"/>
        <v>1</v>
      </c>
      <c r="J37" s="175">
        <f t="shared" si="15"/>
        <v>1</v>
      </c>
      <c r="K37" s="175"/>
      <c r="L37" s="544"/>
      <c r="M37" s="271"/>
      <c r="N37" s="271"/>
    </row>
    <row r="38" spans="1:14" s="143" customFormat="1" ht="20.25" customHeight="1">
      <c r="A38" s="220" t="s">
        <v>15</v>
      </c>
      <c r="B38" s="194" t="s">
        <v>359</v>
      </c>
      <c r="C38" s="136">
        <f>D38+E38</f>
        <v>95000000</v>
      </c>
      <c r="D38" s="136">
        <v>95000000</v>
      </c>
      <c r="E38" s="136"/>
      <c r="F38" s="136">
        <f>G38+H38</f>
        <v>95000000</v>
      </c>
      <c r="G38" s="136">
        <v>95000000</v>
      </c>
      <c r="H38" s="136"/>
      <c r="I38" s="175">
        <f t="shared" si="14"/>
        <v>1</v>
      </c>
      <c r="J38" s="175">
        <f t="shared" si="15"/>
        <v>1</v>
      </c>
      <c r="K38" s="175"/>
      <c r="L38" s="544"/>
      <c r="M38" s="271"/>
      <c r="N38" s="271"/>
    </row>
    <row r="39" spans="1:14" s="143" customFormat="1" ht="18.75" customHeight="1">
      <c r="A39" s="216">
        <v>2</v>
      </c>
      <c r="B39" s="217" t="s">
        <v>361</v>
      </c>
      <c r="C39" s="135">
        <f aca="true" t="shared" si="16" ref="C39:H39">C40+SUM(C43:C46)</f>
        <v>33195000000</v>
      </c>
      <c r="D39" s="135">
        <f t="shared" si="16"/>
        <v>24877200000</v>
      </c>
      <c r="E39" s="135">
        <f t="shared" si="16"/>
        <v>8317800000</v>
      </c>
      <c r="F39" s="135">
        <f t="shared" si="16"/>
        <v>42117515031</v>
      </c>
      <c r="G39" s="135">
        <f t="shared" si="16"/>
        <v>33752377600</v>
      </c>
      <c r="H39" s="135">
        <f t="shared" si="16"/>
        <v>8365137431</v>
      </c>
      <c r="I39" s="226">
        <f t="shared" si="14"/>
        <v>1.2687909333032084</v>
      </c>
      <c r="J39" s="226">
        <f t="shared" si="15"/>
        <v>1.3567595066968952</v>
      </c>
      <c r="K39" s="226">
        <f>H39/E39</f>
        <v>1.00569109993027</v>
      </c>
      <c r="L39" s="544"/>
      <c r="M39" s="271"/>
      <c r="N39" s="271"/>
    </row>
    <row r="40" spans="1:14" s="143" customFormat="1" ht="18.75" customHeight="1">
      <c r="A40" s="220" t="s">
        <v>15</v>
      </c>
      <c r="B40" s="194" t="s">
        <v>448</v>
      </c>
      <c r="C40" s="136">
        <f aca="true" t="shared" si="17" ref="C40:H40">SUM(C41:C42)</f>
        <v>24300000000</v>
      </c>
      <c r="D40" s="136">
        <f t="shared" si="17"/>
        <v>23737200000</v>
      </c>
      <c r="E40" s="136">
        <f t="shared" si="17"/>
        <v>562800000</v>
      </c>
      <c r="F40" s="136">
        <f t="shared" si="17"/>
        <v>33261313000</v>
      </c>
      <c r="G40" s="136">
        <f t="shared" si="17"/>
        <v>32641073000</v>
      </c>
      <c r="H40" s="136">
        <f t="shared" si="17"/>
        <v>620240000</v>
      </c>
      <c r="I40" s="175">
        <f t="shared" si="14"/>
        <v>1.3687783127572017</v>
      </c>
      <c r="J40" s="175">
        <f t="shared" si="15"/>
        <v>1.375102076066259</v>
      </c>
      <c r="K40" s="175">
        <f>H40/E40</f>
        <v>1.1020611229566453</v>
      </c>
      <c r="L40" s="544"/>
      <c r="M40" s="271"/>
      <c r="N40" s="271"/>
    </row>
    <row r="41" spans="1:14" s="143" customFormat="1" ht="18.75" customHeight="1">
      <c r="A41" s="220"/>
      <c r="B41" s="269" t="s">
        <v>362</v>
      </c>
      <c r="C41" s="136">
        <f aca="true" t="shared" si="18" ref="C41:C46">D41+E41</f>
        <v>24300000000</v>
      </c>
      <c r="D41" s="136">
        <v>23737200000</v>
      </c>
      <c r="E41" s="136">
        <v>562800000</v>
      </c>
      <c r="F41" s="136">
        <f aca="true" t="shared" si="19" ref="F41:F46">G41+H41</f>
        <v>32607313000</v>
      </c>
      <c r="G41" s="136">
        <v>31987073000</v>
      </c>
      <c r="H41" s="136">
        <v>620240000</v>
      </c>
      <c r="I41" s="175">
        <f t="shared" si="14"/>
        <v>1.3418647325102881</v>
      </c>
      <c r="J41" s="175">
        <f t="shared" si="15"/>
        <v>1.3475503850496267</v>
      </c>
      <c r="K41" s="175">
        <f>H41/E41</f>
        <v>1.1020611229566453</v>
      </c>
      <c r="L41" s="544"/>
      <c r="M41" s="271"/>
      <c r="N41" s="271"/>
    </row>
    <row r="42" spans="1:14" s="143" customFormat="1" ht="18.75" customHeight="1">
      <c r="A42" s="220"/>
      <c r="B42" s="269" t="s">
        <v>363</v>
      </c>
      <c r="C42" s="136">
        <f t="shared" si="18"/>
        <v>0</v>
      </c>
      <c r="D42" s="136"/>
      <c r="E42" s="136"/>
      <c r="F42" s="136">
        <f t="shared" si="19"/>
        <v>654000000</v>
      </c>
      <c r="G42" s="136">
        <v>654000000</v>
      </c>
      <c r="H42" s="136"/>
      <c r="I42" s="175"/>
      <c r="J42" s="175"/>
      <c r="K42" s="175"/>
      <c r="L42" s="544"/>
      <c r="M42" s="271"/>
      <c r="N42" s="271"/>
    </row>
    <row r="43" spans="1:14" s="143" customFormat="1" ht="18.75" customHeight="1">
      <c r="A43" s="220" t="s">
        <v>15</v>
      </c>
      <c r="B43" s="194" t="s">
        <v>456</v>
      </c>
      <c r="C43" s="136">
        <f t="shared" si="18"/>
        <v>7129000000</v>
      </c>
      <c r="D43" s="136"/>
      <c r="E43" s="136">
        <v>7129000000</v>
      </c>
      <c r="F43" s="136">
        <f t="shared" si="19"/>
        <v>7127817500</v>
      </c>
      <c r="G43" s="136"/>
      <c r="H43" s="136">
        <f>7127817500</f>
        <v>7127817500</v>
      </c>
      <c r="I43" s="175">
        <f t="shared" si="14"/>
        <v>0.999834128208725</v>
      </c>
      <c r="J43" s="175"/>
      <c r="K43" s="175">
        <f>H43/E43</f>
        <v>0.999834128208725</v>
      </c>
      <c r="L43" s="544"/>
      <c r="M43" s="271"/>
      <c r="N43" s="271"/>
    </row>
    <row r="44" spans="1:14" s="143" customFormat="1" ht="18.75" customHeight="1">
      <c r="A44" s="220" t="s">
        <v>15</v>
      </c>
      <c r="B44" s="194" t="s">
        <v>217</v>
      </c>
      <c r="C44" s="136">
        <f t="shared" si="18"/>
        <v>1051000000</v>
      </c>
      <c r="D44" s="136">
        <v>1051000000</v>
      </c>
      <c r="E44" s="136"/>
      <c r="F44" s="136">
        <f>G44+H44</f>
        <v>1022304600</v>
      </c>
      <c r="G44" s="136">
        <v>1022304600</v>
      </c>
      <c r="H44" s="136"/>
      <c r="I44" s="175">
        <f t="shared" si="14"/>
        <v>0.9726970504281637</v>
      </c>
      <c r="J44" s="175">
        <f t="shared" si="15"/>
        <v>0.9726970504281637</v>
      </c>
      <c r="K44" s="175"/>
      <c r="L44" s="544"/>
      <c r="M44" s="271"/>
      <c r="N44" s="271"/>
    </row>
    <row r="45" spans="1:14" s="143" customFormat="1" ht="18.75" customHeight="1">
      <c r="A45" s="218" t="s">
        <v>15</v>
      </c>
      <c r="B45" s="270" t="s">
        <v>526</v>
      </c>
      <c r="C45" s="136">
        <f t="shared" si="18"/>
        <v>500000000</v>
      </c>
      <c r="D45" s="136"/>
      <c r="E45" s="136">
        <v>500000000</v>
      </c>
      <c r="F45" s="136">
        <f t="shared" si="19"/>
        <v>498079931</v>
      </c>
      <c r="G45" s="136"/>
      <c r="H45" s="136">
        <v>498079931</v>
      </c>
      <c r="I45" s="175">
        <f t="shared" si="14"/>
        <v>0.996159862</v>
      </c>
      <c r="J45" s="175"/>
      <c r="K45" s="175">
        <f>H45/E45</f>
        <v>0.996159862</v>
      </c>
      <c r="L45" s="544"/>
      <c r="M45" s="271"/>
      <c r="N45" s="271"/>
    </row>
    <row r="46" spans="1:14" s="143" customFormat="1" ht="18.75" customHeight="1">
      <c r="A46" s="220" t="s">
        <v>15</v>
      </c>
      <c r="B46" s="194" t="s">
        <v>473</v>
      </c>
      <c r="C46" s="136">
        <f t="shared" si="18"/>
        <v>215000000</v>
      </c>
      <c r="D46" s="136">
        <v>89000000</v>
      </c>
      <c r="E46" s="136">
        <v>126000000</v>
      </c>
      <c r="F46" s="136">
        <f t="shared" si="19"/>
        <v>208000000</v>
      </c>
      <c r="G46" s="136">
        <v>89000000</v>
      </c>
      <c r="H46" s="136">
        <v>119000000</v>
      </c>
      <c r="I46" s="175">
        <f t="shared" si="14"/>
        <v>0.9674418604651163</v>
      </c>
      <c r="J46" s="175">
        <f t="shared" si="15"/>
        <v>1</v>
      </c>
      <c r="K46" s="175">
        <f>H46/E46</f>
        <v>0.9444444444444444</v>
      </c>
      <c r="L46" s="544"/>
      <c r="M46" s="271"/>
      <c r="N46" s="271"/>
    </row>
    <row r="47" spans="1:14" s="143" customFormat="1" ht="20.25" customHeight="1">
      <c r="A47" s="216" t="s">
        <v>19</v>
      </c>
      <c r="B47" s="217" t="s">
        <v>544</v>
      </c>
      <c r="C47" s="135">
        <f aca="true" t="shared" si="20" ref="C47:H47">C48+C51</f>
        <v>13873000000</v>
      </c>
      <c r="D47" s="135">
        <f t="shared" si="20"/>
        <v>13743000000</v>
      </c>
      <c r="E47" s="135">
        <f t="shared" si="20"/>
        <v>130000000</v>
      </c>
      <c r="F47" s="135">
        <f t="shared" si="20"/>
        <v>22733974425</v>
      </c>
      <c r="G47" s="135">
        <f t="shared" si="20"/>
        <v>6804116485</v>
      </c>
      <c r="H47" s="135">
        <f t="shared" si="20"/>
        <v>15929857940</v>
      </c>
      <c r="I47" s="226">
        <f t="shared" si="14"/>
        <v>1.6387208552584156</v>
      </c>
      <c r="J47" s="226">
        <f t="shared" si="15"/>
        <v>0.4950968845957942</v>
      </c>
      <c r="K47" s="591">
        <f>H47/E47</f>
        <v>122.53736876923077</v>
      </c>
      <c r="L47" s="544"/>
      <c r="M47" s="271"/>
      <c r="N47" s="271"/>
    </row>
    <row r="48" spans="1:14" s="143" customFormat="1" ht="20.25" customHeight="1">
      <c r="A48" s="216">
        <v>1</v>
      </c>
      <c r="B48" s="217" t="s">
        <v>448</v>
      </c>
      <c r="C48" s="135">
        <f aca="true" t="shared" si="21" ref="C48:H48">SUM(C49:C50)</f>
        <v>2518000000</v>
      </c>
      <c r="D48" s="135">
        <f t="shared" si="21"/>
        <v>2518000000</v>
      </c>
      <c r="E48" s="135">
        <f t="shared" si="21"/>
        <v>0</v>
      </c>
      <c r="F48" s="135">
        <f t="shared" si="21"/>
        <v>12897442485</v>
      </c>
      <c r="G48" s="135">
        <f t="shared" si="21"/>
        <v>2577442485</v>
      </c>
      <c r="H48" s="135">
        <f t="shared" si="21"/>
        <v>10320000000</v>
      </c>
      <c r="I48" s="226">
        <f t="shared" si="14"/>
        <v>5.122097889197776</v>
      </c>
      <c r="J48" s="226">
        <f>G48/D48</f>
        <v>1.0236070234312946</v>
      </c>
      <c r="K48" s="175"/>
      <c r="L48" s="544"/>
      <c r="M48" s="271">
        <f>'Biểu 55'!D21-'Biểu 55'!K21-'Biểu 55'!L21</f>
        <v>2577442485</v>
      </c>
      <c r="N48" s="271">
        <f>M48-G48</f>
        <v>0</v>
      </c>
    </row>
    <row r="49" spans="1:14" s="143" customFormat="1" ht="47.25" customHeight="1">
      <c r="A49" s="218" t="s">
        <v>15</v>
      </c>
      <c r="B49" s="195" t="s">
        <v>527</v>
      </c>
      <c r="C49" s="136">
        <f>D49+E49</f>
        <v>2518000000</v>
      </c>
      <c r="D49" s="136">
        <v>2518000000</v>
      </c>
      <c r="E49" s="136"/>
      <c r="F49" s="136">
        <f>G49+H49</f>
        <v>2577442485</v>
      </c>
      <c r="G49" s="136">
        <v>2577442485</v>
      </c>
      <c r="H49" s="136"/>
      <c r="I49" s="175">
        <f t="shared" si="14"/>
        <v>1.0236070234312946</v>
      </c>
      <c r="J49" s="175">
        <f>G49/D49</f>
        <v>1.0236070234312946</v>
      </c>
      <c r="K49" s="175"/>
      <c r="L49" s="544"/>
      <c r="M49" s="271"/>
      <c r="N49" s="271"/>
    </row>
    <row r="50" spans="1:14" s="143" customFormat="1" ht="19.5" customHeight="1">
      <c r="A50" s="220" t="s">
        <v>15</v>
      </c>
      <c r="B50" s="195" t="s">
        <v>566</v>
      </c>
      <c r="C50" s="136"/>
      <c r="D50" s="136"/>
      <c r="E50" s="136"/>
      <c r="F50" s="136">
        <f>G50+H50</f>
        <v>10320000000</v>
      </c>
      <c r="G50" s="136"/>
      <c r="H50" s="136">
        <v>10320000000</v>
      </c>
      <c r="I50" s="175"/>
      <c r="J50" s="175"/>
      <c r="K50" s="175"/>
      <c r="L50" s="544"/>
      <c r="M50" s="271"/>
      <c r="N50" s="271"/>
    </row>
    <row r="51" spans="1:14" s="143" customFormat="1" ht="19.5" customHeight="1">
      <c r="A51" s="216">
        <v>2</v>
      </c>
      <c r="B51" s="217" t="s">
        <v>449</v>
      </c>
      <c r="C51" s="135">
        <f aca="true" t="shared" si="22" ref="C51:H51">SUM(C52:C60)</f>
        <v>11355000000</v>
      </c>
      <c r="D51" s="135">
        <f t="shared" si="22"/>
        <v>11225000000</v>
      </c>
      <c r="E51" s="135">
        <f t="shared" si="22"/>
        <v>130000000</v>
      </c>
      <c r="F51" s="135">
        <f t="shared" si="22"/>
        <v>9836531940</v>
      </c>
      <c r="G51" s="135">
        <f t="shared" si="22"/>
        <v>4226674000</v>
      </c>
      <c r="H51" s="135">
        <f t="shared" si="22"/>
        <v>5609857940</v>
      </c>
      <c r="I51" s="226">
        <f t="shared" si="14"/>
        <v>0.866273178335535</v>
      </c>
      <c r="J51" s="226">
        <f t="shared" si="15"/>
        <v>0.3765411135857461</v>
      </c>
      <c r="K51" s="226">
        <f>H51/E51</f>
        <v>43.15275338461539</v>
      </c>
      <c r="L51" s="544"/>
      <c r="M51" s="271">
        <f>'Biểu 56'!D45-'Biểu 56'!V45-'Biểu 56'!W45</f>
        <v>4226674000</v>
      </c>
      <c r="N51" s="271">
        <f>M51-G51</f>
        <v>0</v>
      </c>
    </row>
    <row r="52" spans="1:14" s="143" customFormat="1" ht="33" customHeight="1">
      <c r="A52" s="220" t="s">
        <v>15</v>
      </c>
      <c r="B52" s="195" t="s">
        <v>528</v>
      </c>
      <c r="C52" s="136">
        <f aca="true" t="shared" si="23" ref="C52:C60">D52+E52</f>
        <v>191000000</v>
      </c>
      <c r="D52" s="99">
        <v>61000000</v>
      </c>
      <c r="E52" s="99">
        <v>130000000</v>
      </c>
      <c r="F52" s="136">
        <f>G52+H52</f>
        <v>480000000</v>
      </c>
      <c r="G52" s="136">
        <v>480000000</v>
      </c>
      <c r="H52" s="136"/>
      <c r="I52" s="175">
        <f t="shared" si="14"/>
        <v>2.513089005235602</v>
      </c>
      <c r="J52" s="175">
        <f t="shared" si="15"/>
        <v>7.868852459016393</v>
      </c>
      <c r="K52" s="175"/>
      <c r="L52" s="544"/>
      <c r="M52" s="271"/>
      <c r="N52" s="271"/>
    </row>
    <row r="53" spans="1:14" s="143" customFormat="1" ht="21" customHeight="1">
      <c r="A53" s="220" t="s">
        <v>15</v>
      </c>
      <c r="B53" s="194" t="s">
        <v>471</v>
      </c>
      <c r="C53" s="136">
        <f t="shared" si="23"/>
        <v>70000000</v>
      </c>
      <c r="D53" s="99">
        <v>70000000</v>
      </c>
      <c r="E53" s="99"/>
      <c r="F53" s="136">
        <f>G53+H53</f>
        <v>70000000</v>
      </c>
      <c r="G53" s="136">
        <v>70000000</v>
      </c>
      <c r="H53" s="136"/>
      <c r="I53" s="175">
        <f t="shared" si="14"/>
        <v>1</v>
      </c>
      <c r="J53" s="175">
        <f t="shared" si="15"/>
        <v>1</v>
      </c>
      <c r="K53" s="175"/>
      <c r="L53" s="544"/>
      <c r="M53" s="271"/>
      <c r="N53" s="271"/>
    </row>
    <row r="54" spans="1:14" s="143" customFormat="1" ht="21.75" customHeight="1">
      <c r="A54" s="220" t="s">
        <v>15</v>
      </c>
      <c r="B54" s="194" t="s">
        <v>529</v>
      </c>
      <c r="C54" s="136">
        <f t="shared" si="23"/>
        <v>3519000000</v>
      </c>
      <c r="D54" s="99">
        <v>3519000000</v>
      </c>
      <c r="E54" s="99"/>
      <c r="F54" s="136">
        <f>G54+H54</f>
        <v>5609857940</v>
      </c>
      <c r="G54" s="136"/>
      <c r="H54" s="136">
        <v>5609857940</v>
      </c>
      <c r="I54" s="175">
        <f t="shared" si="14"/>
        <v>1.5941625291275932</v>
      </c>
      <c r="J54" s="175"/>
      <c r="K54" s="175"/>
      <c r="L54" s="544"/>
      <c r="M54" s="271"/>
      <c r="N54" s="271"/>
    </row>
    <row r="55" spans="1:14" s="143" customFormat="1" ht="45" customHeight="1">
      <c r="A55" s="220" t="s">
        <v>15</v>
      </c>
      <c r="B55" s="195" t="s">
        <v>527</v>
      </c>
      <c r="C55" s="136">
        <f t="shared" si="23"/>
        <v>300000000</v>
      </c>
      <c r="D55" s="99">
        <v>300000000</v>
      </c>
      <c r="E55" s="99"/>
      <c r="F55" s="136">
        <f aca="true" t="shared" si="24" ref="F55:F62">G55+H55</f>
        <v>520000000</v>
      </c>
      <c r="G55" s="136">
        <v>520000000</v>
      </c>
      <c r="H55" s="136"/>
      <c r="I55" s="175">
        <f t="shared" si="14"/>
        <v>1.7333333333333334</v>
      </c>
      <c r="J55" s="175">
        <f t="shared" si="15"/>
        <v>1.7333333333333334</v>
      </c>
      <c r="K55" s="175"/>
      <c r="L55" s="544"/>
      <c r="M55" s="271"/>
      <c r="N55" s="271"/>
    </row>
    <row r="56" spans="1:14" s="143" customFormat="1" ht="32.25" customHeight="1">
      <c r="A56" s="220" t="s">
        <v>15</v>
      </c>
      <c r="B56" s="195" t="s">
        <v>530</v>
      </c>
      <c r="C56" s="136">
        <f t="shared" si="23"/>
        <v>50000000</v>
      </c>
      <c r="D56" s="99">
        <v>50000000</v>
      </c>
      <c r="E56" s="99"/>
      <c r="F56" s="136">
        <f t="shared" si="24"/>
        <v>50000000</v>
      </c>
      <c r="G56" s="136">
        <v>50000000</v>
      </c>
      <c r="H56" s="136"/>
      <c r="I56" s="175">
        <f t="shared" si="14"/>
        <v>1</v>
      </c>
      <c r="J56" s="175">
        <f t="shared" si="15"/>
        <v>1</v>
      </c>
      <c r="K56" s="175"/>
      <c r="L56" s="544"/>
      <c r="M56" s="271"/>
      <c r="N56" s="271"/>
    </row>
    <row r="57" spans="1:14" s="143" customFormat="1" ht="45" customHeight="1">
      <c r="A57" s="220" t="s">
        <v>15</v>
      </c>
      <c r="B57" s="195" t="s">
        <v>531</v>
      </c>
      <c r="C57" s="136">
        <f t="shared" si="23"/>
        <v>15000000</v>
      </c>
      <c r="D57" s="99">
        <v>15000000</v>
      </c>
      <c r="E57" s="99"/>
      <c r="F57" s="136">
        <f t="shared" si="24"/>
        <v>15000000</v>
      </c>
      <c r="G57" s="136">
        <v>15000000</v>
      </c>
      <c r="H57" s="136"/>
      <c r="I57" s="175">
        <f t="shared" si="14"/>
        <v>1</v>
      </c>
      <c r="J57" s="175">
        <f t="shared" si="15"/>
        <v>1</v>
      </c>
      <c r="K57" s="175"/>
      <c r="L57" s="544"/>
      <c r="M57" s="271"/>
      <c r="N57" s="271"/>
    </row>
    <row r="58" spans="1:14" s="143" customFormat="1" ht="34.5" customHeight="1">
      <c r="A58" s="220" t="s">
        <v>15</v>
      </c>
      <c r="B58" s="195" t="s">
        <v>426</v>
      </c>
      <c r="C58" s="136">
        <f>D58+E58</f>
        <v>0</v>
      </c>
      <c r="D58" s="99"/>
      <c r="E58" s="99"/>
      <c r="F58" s="136">
        <f>G58+H58</f>
        <v>3088674000</v>
      </c>
      <c r="G58" s="136">
        <v>3088674000</v>
      </c>
      <c r="H58" s="136"/>
      <c r="I58" s="175"/>
      <c r="J58" s="175"/>
      <c r="K58" s="175"/>
      <c r="L58" s="544"/>
      <c r="M58" s="271"/>
      <c r="N58" s="271"/>
    </row>
    <row r="59" spans="1:14" s="143" customFormat="1" ht="48" customHeight="1">
      <c r="A59" s="220" t="s">
        <v>15</v>
      </c>
      <c r="B59" s="268" t="s">
        <v>567</v>
      </c>
      <c r="C59" s="136"/>
      <c r="D59" s="99"/>
      <c r="E59" s="99"/>
      <c r="F59" s="136">
        <f>G59+H59</f>
        <v>3000000</v>
      </c>
      <c r="G59" s="136">
        <v>3000000</v>
      </c>
      <c r="H59" s="136"/>
      <c r="I59" s="175"/>
      <c r="J59" s="175"/>
      <c r="K59" s="175"/>
      <c r="L59" s="544"/>
      <c r="M59" s="271"/>
      <c r="N59" s="271"/>
    </row>
    <row r="60" spans="1:14" s="143" customFormat="1" ht="20.25" customHeight="1">
      <c r="A60" s="220" t="s">
        <v>15</v>
      </c>
      <c r="B60" s="194" t="s">
        <v>532</v>
      </c>
      <c r="C60" s="136">
        <f t="shared" si="23"/>
        <v>7210000000</v>
      </c>
      <c r="D60" s="136">
        <v>7210000000</v>
      </c>
      <c r="E60" s="136"/>
      <c r="F60" s="136">
        <f t="shared" si="24"/>
        <v>0</v>
      </c>
      <c r="G60" s="136"/>
      <c r="H60" s="136"/>
      <c r="I60" s="175"/>
      <c r="J60" s="175"/>
      <c r="K60" s="175"/>
      <c r="L60" s="544"/>
      <c r="M60" s="271"/>
      <c r="N60" s="271"/>
    </row>
    <row r="61" spans="1:14" s="272" customFormat="1" ht="20.25" customHeight="1">
      <c r="A61" s="216" t="s">
        <v>23</v>
      </c>
      <c r="B61" s="217" t="s">
        <v>356</v>
      </c>
      <c r="C61" s="223"/>
      <c r="D61" s="223"/>
      <c r="E61" s="135"/>
      <c r="F61" s="135">
        <f>G61+H61</f>
        <v>6283457625</v>
      </c>
      <c r="G61" s="135">
        <v>5574053860</v>
      </c>
      <c r="H61" s="135">
        <f>809255894-99852129</f>
        <v>709403765</v>
      </c>
      <c r="I61" s="175"/>
      <c r="J61" s="175"/>
      <c r="K61" s="175"/>
      <c r="L61" s="544"/>
      <c r="M61" s="288">
        <f>'Biểu 55'!L11+'Biểu 56'!W10</f>
        <v>5574053860</v>
      </c>
      <c r="N61" s="288">
        <f>M61-G61</f>
        <v>0</v>
      </c>
    </row>
    <row r="62" spans="1:14" s="143" customFormat="1" ht="20.25" customHeight="1">
      <c r="A62" s="224" t="s">
        <v>351</v>
      </c>
      <c r="B62" s="225" t="s">
        <v>90</v>
      </c>
      <c r="C62" s="142"/>
      <c r="D62" s="142"/>
      <c r="E62" s="277"/>
      <c r="F62" s="277">
        <f t="shared" si="24"/>
        <v>53415904515</v>
      </c>
      <c r="G62" s="277">
        <v>45187635202</v>
      </c>
      <c r="H62" s="277">
        <v>8228269313</v>
      </c>
      <c r="I62" s="179"/>
      <c r="J62" s="179"/>
      <c r="K62" s="179"/>
      <c r="L62" s="544"/>
      <c r="M62" s="288">
        <f>'Biểu 55'!K11+'Biểu 56'!V10</f>
        <v>45187635202</v>
      </c>
      <c r="N62" s="288">
        <f>M62-G62</f>
        <v>0</v>
      </c>
    </row>
    <row r="63" ht="18.75" hidden="1">
      <c r="A63" s="22" t="s">
        <v>63</v>
      </c>
    </row>
  </sheetData>
  <sheetProtection/>
  <mergeCells count="16">
    <mergeCell ref="J7:J10"/>
    <mergeCell ref="K7:K10"/>
    <mergeCell ref="I1:K1"/>
    <mergeCell ref="F6:F10"/>
    <mergeCell ref="G6:H6"/>
    <mergeCell ref="I6:K6"/>
    <mergeCell ref="G7:G10"/>
    <mergeCell ref="I5:K5"/>
    <mergeCell ref="A6:A10"/>
    <mergeCell ref="B6:B10"/>
    <mergeCell ref="H7:H10"/>
    <mergeCell ref="I7:I10"/>
    <mergeCell ref="C6:C10"/>
    <mergeCell ref="D6:E6"/>
    <mergeCell ref="D7:D10"/>
    <mergeCell ref="E7:E10"/>
  </mergeCells>
  <printOptions/>
  <pageMargins left="0" right="0" top="0.48" bottom="0.81" header="0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N156"/>
  <sheetViews>
    <sheetView zoomScalePageLayoutView="0" workbookViewId="0" topLeftCell="A24">
      <selection activeCell="GI45" sqref="GI45"/>
    </sheetView>
  </sheetViews>
  <sheetFormatPr defaultColWidth="8.796875" defaultRowHeight="15"/>
  <cols>
    <col min="1" max="1" width="4.796875" style="34" customWidth="1"/>
    <col min="2" max="2" width="19.296875" style="37" customWidth="1"/>
    <col min="3" max="3" width="13" style="41" customWidth="1"/>
    <col min="4" max="4" width="12.09765625" style="35" customWidth="1"/>
    <col min="5" max="5" width="11" style="35" hidden="1" customWidth="1"/>
    <col min="6" max="6" width="13" style="35" hidden="1" customWidth="1"/>
    <col min="7" max="7" width="10.3984375" style="35" hidden="1" customWidth="1"/>
    <col min="8" max="9" width="12.3984375" style="35" hidden="1" customWidth="1"/>
    <col min="10" max="10" width="13.69921875" style="35" customWidth="1"/>
    <col min="11" max="12" width="12.09765625" style="35" hidden="1" customWidth="1"/>
    <col min="13" max="13" width="13.3984375" style="35" hidden="1" customWidth="1"/>
    <col min="14" max="15" width="12.09765625" style="35" hidden="1" customWidth="1"/>
    <col min="16" max="16" width="11.19921875" style="35" hidden="1" customWidth="1"/>
    <col min="17" max="18" width="11.296875" style="35" hidden="1" customWidth="1"/>
    <col min="19" max="19" width="9.3984375" style="35" hidden="1" customWidth="1"/>
    <col min="20" max="23" width="11" style="35" hidden="1" customWidth="1"/>
    <col min="24" max="24" width="10.19921875" style="35" hidden="1" customWidth="1"/>
    <col min="25" max="28" width="11.3984375" style="35" hidden="1" customWidth="1"/>
    <col min="29" max="29" width="9.8984375" style="35" hidden="1" customWidth="1"/>
    <col min="30" max="30" width="12.19921875" style="35" hidden="1" customWidth="1"/>
    <col min="31" max="32" width="11.796875" style="35" hidden="1" customWidth="1"/>
    <col min="33" max="33" width="10.3984375" style="35" hidden="1" customWidth="1"/>
    <col min="34" max="35" width="11.796875" style="35" hidden="1" customWidth="1"/>
    <col min="36" max="39" width="12.8984375" style="35" hidden="1" customWidth="1"/>
    <col min="40" max="40" width="10.69921875" style="35" hidden="1" customWidth="1"/>
    <col min="41" max="41" width="11.296875" style="35" hidden="1" customWidth="1"/>
    <col min="42" max="43" width="10.796875" style="35" hidden="1" customWidth="1"/>
    <col min="44" max="46" width="12" style="35" hidden="1" customWidth="1"/>
    <col min="47" max="47" width="13.8984375" style="35" hidden="1" customWidth="1"/>
    <col min="48" max="48" width="9.8984375" style="35" hidden="1" customWidth="1"/>
    <col min="49" max="49" width="9.69921875" style="35" hidden="1" customWidth="1"/>
    <col min="50" max="50" width="12.69921875" style="35" hidden="1" customWidth="1"/>
    <col min="51" max="51" width="12.19921875" style="35" customWidth="1"/>
    <col min="52" max="52" width="12.09765625" style="35" customWidth="1"/>
    <col min="53" max="53" width="10.796875" style="35" customWidth="1"/>
    <col min="54" max="54" width="12.09765625" style="35" hidden="1" customWidth="1"/>
    <col min="55" max="55" width="9.796875" style="35" hidden="1" customWidth="1"/>
    <col min="56" max="57" width="9.8984375" style="35" hidden="1" customWidth="1"/>
    <col min="58" max="58" width="7.09765625" style="35" hidden="1" customWidth="1"/>
    <col min="59" max="60" width="13.09765625" style="35" hidden="1" customWidth="1"/>
    <col min="61" max="61" width="10.8984375" style="35" hidden="1" customWidth="1"/>
    <col min="62" max="62" width="11.796875" style="35" hidden="1" customWidth="1"/>
    <col min="63" max="63" width="10.8984375" style="35" hidden="1" customWidth="1"/>
    <col min="64" max="65" width="10.3984375" style="35" hidden="1" customWidth="1"/>
    <col min="66" max="68" width="9.296875" style="35" hidden="1" customWidth="1"/>
    <col min="69" max="71" width="12.796875" style="35" hidden="1" customWidth="1"/>
    <col min="72" max="72" width="11.19921875" style="35" hidden="1" customWidth="1"/>
    <col min="73" max="74" width="10.296875" style="35" hidden="1" customWidth="1"/>
    <col min="75" max="75" width="11.796875" style="35" hidden="1" customWidth="1"/>
    <col min="76" max="76" width="6.3984375" style="35" hidden="1" customWidth="1"/>
    <col min="77" max="78" width="10" style="35" hidden="1" customWidth="1"/>
    <col min="79" max="79" width="7.8984375" style="35" hidden="1" customWidth="1"/>
    <col min="80" max="80" width="10.296875" style="35" hidden="1" customWidth="1"/>
    <col min="81" max="81" width="11.69921875" style="35" hidden="1" customWidth="1"/>
    <col min="82" max="82" width="12.19921875" style="35" customWidth="1"/>
    <col min="83" max="84" width="11.09765625" style="35" customWidth="1"/>
    <col min="85" max="85" width="11.8984375" style="35" hidden="1" customWidth="1"/>
    <col min="86" max="86" width="6.09765625" style="35" hidden="1" customWidth="1"/>
    <col min="87" max="89" width="10.09765625" style="35" hidden="1" customWidth="1"/>
    <col min="90" max="91" width="10.19921875" style="35" hidden="1" customWidth="1"/>
    <col min="92" max="93" width="12.796875" style="35" hidden="1" customWidth="1"/>
    <col min="94" max="94" width="10.296875" style="35" hidden="1" customWidth="1"/>
    <col min="95" max="95" width="10.19921875" style="35" hidden="1" customWidth="1"/>
    <col min="96" max="96" width="19.09765625" style="37" customWidth="1"/>
    <col min="97" max="97" width="12.19921875" style="36" customWidth="1"/>
    <col min="98" max="98" width="11.19921875" style="35" customWidth="1"/>
    <col min="99" max="99" width="10" style="35" hidden="1" customWidth="1"/>
    <col min="100" max="100" width="11.796875" style="35" hidden="1" customWidth="1"/>
    <col min="101" max="101" width="10" style="35" hidden="1" customWidth="1"/>
    <col min="102" max="102" width="11" style="35" hidden="1" customWidth="1"/>
    <col min="103" max="103" width="10.3984375" style="35" hidden="1" customWidth="1"/>
    <col min="104" max="104" width="12.296875" style="35" customWidth="1"/>
    <col min="105" max="106" width="11.796875" style="35" hidden="1" customWidth="1"/>
    <col min="107" max="109" width="12.3984375" style="35" hidden="1" customWidth="1"/>
    <col min="110" max="110" width="11" style="35" hidden="1" customWidth="1"/>
    <col min="111" max="111" width="12.09765625" style="35" hidden="1" customWidth="1"/>
    <col min="112" max="113" width="11.09765625" style="35" hidden="1" customWidth="1"/>
    <col min="114" max="114" width="11.69921875" style="35" hidden="1" customWidth="1"/>
    <col min="115" max="116" width="10.3984375" style="35" hidden="1" customWidth="1"/>
    <col min="117" max="117" width="11.796875" style="35" hidden="1" customWidth="1"/>
    <col min="118" max="118" width="9.8984375" style="35" hidden="1" customWidth="1"/>
    <col min="119" max="126" width="12.19921875" style="35" hidden="1" customWidth="1"/>
    <col min="127" max="127" width="9.796875" style="35" hidden="1" customWidth="1"/>
    <col min="128" max="134" width="13" style="35" hidden="1" customWidth="1"/>
    <col min="135" max="135" width="10.3984375" style="35" hidden="1" customWidth="1"/>
    <col min="136" max="137" width="10.69921875" style="35" hidden="1" customWidth="1"/>
    <col min="138" max="140" width="11.09765625" style="35" hidden="1" customWidth="1"/>
    <col min="141" max="141" width="12" style="35" hidden="1" customWidth="1"/>
    <col min="142" max="142" width="11.69921875" style="35" hidden="1" customWidth="1"/>
    <col min="143" max="143" width="10.09765625" style="35" hidden="1" customWidth="1"/>
    <col min="144" max="144" width="9" style="35" hidden="1" customWidth="1"/>
    <col min="145" max="145" width="11.3984375" style="35" customWidth="1"/>
    <col min="146" max="146" width="11.69921875" style="35" customWidth="1"/>
    <col min="147" max="147" width="10.796875" style="35" customWidth="1"/>
    <col min="148" max="151" width="9.8984375" style="35" hidden="1" customWidth="1"/>
    <col min="152" max="152" width="8.796875" style="35" hidden="1" customWidth="1"/>
    <col min="153" max="154" width="12.09765625" style="35" hidden="1" customWidth="1"/>
    <col min="155" max="155" width="10.09765625" style="35" hidden="1" customWidth="1"/>
    <col min="156" max="156" width="11.296875" style="35" hidden="1" customWidth="1"/>
    <col min="157" max="157" width="11.3984375" style="35" hidden="1" customWidth="1"/>
    <col min="158" max="158" width="10.796875" style="35" hidden="1" customWidth="1"/>
    <col min="159" max="160" width="9" style="35" hidden="1" customWidth="1"/>
    <col min="161" max="161" width="10" style="35" hidden="1" customWidth="1"/>
    <col min="162" max="162" width="10.8984375" style="35" hidden="1" customWidth="1"/>
    <col min="163" max="164" width="12.19921875" style="35" hidden="1" customWidth="1"/>
    <col min="165" max="166" width="11.19921875" style="35" hidden="1" customWidth="1"/>
    <col min="167" max="167" width="9.796875" style="35" hidden="1" customWidth="1"/>
    <col min="168" max="169" width="10" style="35" hidden="1" customWidth="1"/>
    <col min="170" max="170" width="9.19921875" style="35" hidden="1" customWidth="1"/>
    <col min="171" max="171" width="10.296875" style="35" hidden="1" customWidth="1"/>
    <col min="172" max="173" width="9.69921875" style="35" hidden="1" customWidth="1"/>
    <col min="174" max="174" width="8.09765625" style="35" hidden="1" customWidth="1"/>
    <col min="175" max="175" width="11.09765625" style="35" hidden="1" customWidth="1"/>
    <col min="176" max="176" width="11.69921875" style="35" customWidth="1"/>
    <col min="177" max="178" width="10.8984375" style="35" customWidth="1"/>
    <col min="179" max="179" width="12.09765625" style="35" hidden="1" customWidth="1"/>
    <col min="180" max="180" width="7.3984375" style="35" hidden="1" customWidth="1"/>
    <col min="181" max="181" width="8.19921875" style="35" hidden="1" customWidth="1"/>
    <col min="182" max="182" width="9.796875" style="35" hidden="1" customWidth="1"/>
    <col min="183" max="183" width="9.19921875" style="35" hidden="1" customWidth="1"/>
    <col min="184" max="184" width="10" style="35" hidden="1" customWidth="1"/>
    <col min="185" max="185" width="9.09765625" style="35" hidden="1" customWidth="1"/>
    <col min="186" max="186" width="11.8984375" style="35" hidden="1" customWidth="1"/>
    <col min="187" max="187" width="11" style="35" hidden="1" customWidth="1"/>
    <col min="188" max="189" width="10.69921875" style="35" hidden="1" customWidth="1"/>
    <col min="190" max="190" width="11.3984375" style="36" customWidth="1"/>
    <col min="191" max="191" width="22.8984375" style="36" customWidth="1"/>
    <col min="192" max="192" width="12.3984375" style="36" customWidth="1"/>
    <col min="193" max="193" width="16.69921875" style="36" customWidth="1"/>
    <col min="194" max="194" width="15.3984375" style="36" customWidth="1"/>
    <col min="195" max="195" width="13.3984375" style="36" customWidth="1"/>
    <col min="196" max="196" width="18.296875" style="36" customWidth="1"/>
    <col min="197" max="16384" width="9" style="36" customWidth="1"/>
  </cols>
  <sheetData>
    <row r="1" spans="83:85" ht="16.5" customHeight="1">
      <c r="CE1" s="709" t="s">
        <v>649</v>
      </c>
      <c r="CF1" s="709"/>
      <c r="CG1" s="709"/>
    </row>
    <row r="2" spans="1:96" ht="16.5" customHeight="1">
      <c r="A2" s="639" t="s">
        <v>438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  <c r="AB2" s="639"/>
      <c r="AC2" s="639"/>
      <c r="AD2" s="639"/>
      <c r="AE2" s="639"/>
      <c r="AF2" s="639"/>
      <c r="AG2" s="639"/>
      <c r="AH2" s="639"/>
      <c r="AI2" s="639"/>
      <c r="AJ2" s="639"/>
      <c r="AK2" s="639"/>
      <c r="AL2" s="639"/>
      <c r="AM2" s="639"/>
      <c r="AN2" s="639"/>
      <c r="AO2" s="639"/>
      <c r="AP2" s="639"/>
      <c r="AQ2" s="639"/>
      <c r="AR2" s="639"/>
      <c r="AS2" s="639"/>
      <c r="AT2" s="639"/>
      <c r="AU2" s="639"/>
      <c r="AV2" s="639"/>
      <c r="AW2" s="639"/>
      <c r="AX2" s="639"/>
      <c r="AY2" s="639"/>
      <c r="AZ2" s="639"/>
      <c r="BA2" s="639"/>
      <c r="BB2" s="639"/>
      <c r="BC2" s="639"/>
      <c r="BD2" s="639"/>
      <c r="BE2" s="639"/>
      <c r="BF2" s="639"/>
      <c r="BG2" s="639"/>
      <c r="BH2" s="639"/>
      <c r="BI2" s="639"/>
      <c r="BJ2" s="639"/>
      <c r="BK2" s="639"/>
      <c r="BL2" s="639"/>
      <c r="BM2" s="639"/>
      <c r="BN2" s="639"/>
      <c r="BO2" s="639"/>
      <c r="BP2" s="639"/>
      <c r="BQ2" s="639"/>
      <c r="BR2" s="639"/>
      <c r="BS2" s="639"/>
      <c r="BT2" s="639"/>
      <c r="BU2" s="639"/>
      <c r="BV2" s="639"/>
      <c r="BW2" s="639"/>
      <c r="BX2" s="639"/>
      <c r="BY2" s="639"/>
      <c r="BZ2" s="639"/>
      <c r="CA2" s="639"/>
      <c r="CB2" s="639"/>
      <c r="CC2" s="639"/>
      <c r="CD2" s="639"/>
      <c r="CE2" s="639"/>
      <c r="CF2" s="639"/>
      <c r="CR2" s="35"/>
    </row>
    <row r="3" spans="1:98" ht="15.75" customHeight="1">
      <c r="A3" s="640" t="str">
        <f>'Biểu 48'!A3</f>
        <v>(Kèm theo Nghị quyết số          /2019/NQ-HĐND ngày         /      /2019 của HĐND huyện Tuần Giáo)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640"/>
      <c r="AL3" s="640"/>
      <c r="AM3" s="640"/>
      <c r="AN3" s="640"/>
      <c r="AO3" s="640"/>
      <c r="AP3" s="640"/>
      <c r="AQ3" s="640"/>
      <c r="AR3" s="640"/>
      <c r="AS3" s="640"/>
      <c r="AT3" s="640"/>
      <c r="AU3" s="640"/>
      <c r="AV3" s="640"/>
      <c r="AW3" s="640"/>
      <c r="AX3" s="640"/>
      <c r="AY3" s="640"/>
      <c r="AZ3" s="640"/>
      <c r="BA3" s="640"/>
      <c r="BB3" s="640"/>
      <c r="BC3" s="640"/>
      <c r="BD3" s="640"/>
      <c r="BE3" s="640"/>
      <c r="BF3" s="640"/>
      <c r="BG3" s="640"/>
      <c r="BH3" s="640"/>
      <c r="BI3" s="640"/>
      <c r="BJ3" s="640"/>
      <c r="BK3" s="640"/>
      <c r="BL3" s="640"/>
      <c r="BM3" s="640"/>
      <c r="BN3" s="640"/>
      <c r="BO3" s="640"/>
      <c r="BP3" s="640"/>
      <c r="BQ3" s="640"/>
      <c r="BR3" s="640"/>
      <c r="BS3" s="640"/>
      <c r="BT3" s="640"/>
      <c r="BU3" s="640"/>
      <c r="BV3" s="640"/>
      <c r="BW3" s="640"/>
      <c r="BX3" s="640"/>
      <c r="BY3" s="640"/>
      <c r="BZ3" s="640"/>
      <c r="CA3" s="640"/>
      <c r="CB3" s="640"/>
      <c r="CC3" s="640"/>
      <c r="CD3" s="640"/>
      <c r="CE3" s="640"/>
      <c r="CF3" s="640"/>
      <c r="CR3" s="35"/>
      <c r="CS3" s="569"/>
      <c r="CT3" s="569"/>
    </row>
    <row r="4" spans="4:85" ht="12.75" customHeight="1">
      <c r="D4" s="569"/>
      <c r="K4" s="641" t="s">
        <v>276</v>
      </c>
      <c r="L4" s="641"/>
      <c r="P4" s="646"/>
      <c r="Q4" s="646"/>
      <c r="R4" s="36"/>
      <c r="S4" s="237"/>
      <c r="CF4" s="555" t="s">
        <v>276</v>
      </c>
      <c r="CG4" s="584"/>
    </row>
    <row r="5" spans="1:196" s="465" customFormat="1" ht="18" customHeight="1">
      <c r="A5" s="642" t="s">
        <v>61</v>
      </c>
      <c r="B5" s="672" t="s">
        <v>172</v>
      </c>
      <c r="C5" s="713" t="s">
        <v>458</v>
      </c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3"/>
      <c r="X5" s="713"/>
      <c r="Y5" s="713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3"/>
      <c r="AK5" s="713"/>
      <c r="AL5" s="713"/>
      <c r="AM5" s="713"/>
      <c r="AN5" s="713"/>
      <c r="AO5" s="713"/>
      <c r="AP5" s="713"/>
      <c r="AQ5" s="713"/>
      <c r="AR5" s="713"/>
      <c r="AS5" s="713"/>
      <c r="AT5" s="713"/>
      <c r="AU5" s="713"/>
      <c r="AV5" s="713"/>
      <c r="AW5" s="713"/>
      <c r="AX5" s="713"/>
      <c r="AY5" s="713"/>
      <c r="AZ5" s="713"/>
      <c r="BA5" s="713"/>
      <c r="BB5" s="713"/>
      <c r="BC5" s="713"/>
      <c r="BD5" s="713"/>
      <c r="BE5" s="713"/>
      <c r="BF5" s="713"/>
      <c r="BG5" s="713"/>
      <c r="BH5" s="713"/>
      <c r="BI5" s="713"/>
      <c r="BJ5" s="713"/>
      <c r="BK5" s="713"/>
      <c r="BL5" s="713"/>
      <c r="BM5" s="713"/>
      <c r="BN5" s="713"/>
      <c r="BO5" s="713"/>
      <c r="BP5" s="713"/>
      <c r="BQ5" s="713"/>
      <c r="BR5" s="713"/>
      <c r="BS5" s="713"/>
      <c r="BT5" s="713"/>
      <c r="BU5" s="713"/>
      <c r="BV5" s="713"/>
      <c r="BW5" s="713"/>
      <c r="BX5" s="713"/>
      <c r="BY5" s="713"/>
      <c r="BZ5" s="713"/>
      <c r="CA5" s="713"/>
      <c r="CB5" s="713"/>
      <c r="CC5" s="713"/>
      <c r="CD5" s="713"/>
      <c r="CE5" s="713"/>
      <c r="CF5" s="713"/>
      <c r="CG5" s="713"/>
      <c r="CH5" s="713"/>
      <c r="CI5" s="713"/>
      <c r="CJ5" s="713"/>
      <c r="CK5" s="713"/>
      <c r="CL5" s="713"/>
      <c r="CM5" s="713"/>
      <c r="CN5" s="713"/>
      <c r="CO5" s="713"/>
      <c r="CP5" s="713"/>
      <c r="CQ5" s="713"/>
      <c r="CR5" s="644" t="s">
        <v>172</v>
      </c>
      <c r="CS5" s="710" t="s">
        <v>459</v>
      </c>
      <c r="CT5" s="711"/>
      <c r="CU5" s="711"/>
      <c r="CV5" s="711"/>
      <c r="CW5" s="711"/>
      <c r="CX5" s="711"/>
      <c r="CY5" s="711"/>
      <c r="CZ5" s="711"/>
      <c r="DA5" s="711"/>
      <c r="DB5" s="711"/>
      <c r="DC5" s="711"/>
      <c r="DD5" s="711"/>
      <c r="DE5" s="711"/>
      <c r="DF5" s="711"/>
      <c r="DG5" s="711"/>
      <c r="DH5" s="711"/>
      <c r="DI5" s="711"/>
      <c r="DJ5" s="711"/>
      <c r="DK5" s="711"/>
      <c r="DL5" s="711"/>
      <c r="DM5" s="711"/>
      <c r="DN5" s="711"/>
      <c r="DO5" s="711"/>
      <c r="DP5" s="711"/>
      <c r="DQ5" s="711"/>
      <c r="DR5" s="711"/>
      <c r="DS5" s="711"/>
      <c r="DT5" s="711"/>
      <c r="DU5" s="711"/>
      <c r="DV5" s="711"/>
      <c r="DW5" s="711"/>
      <c r="DX5" s="711"/>
      <c r="DY5" s="711"/>
      <c r="DZ5" s="711"/>
      <c r="EA5" s="711"/>
      <c r="EB5" s="711"/>
      <c r="EC5" s="711"/>
      <c r="ED5" s="711"/>
      <c r="EE5" s="711"/>
      <c r="EF5" s="711"/>
      <c r="EG5" s="711"/>
      <c r="EH5" s="711"/>
      <c r="EI5" s="711"/>
      <c r="EJ5" s="711"/>
      <c r="EK5" s="711"/>
      <c r="EL5" s="711"/>
      <c r="EM5" s="711"/>
      <c r="EN5" s="711"/>
      <c r="EO5" s="711"/>
      <c r="EP5" s="711"/>
      <c r="EQ5" s="711"/>
      <c r="ER5" s="711"/>
      <c r="ES5" s="711"/>
      <c r="ET5" s="711"/>
      <c r="EU5" s="711"/>
      <c r="EV5" s="711"/>
      <c r="EW5" s="711"/>
      <c r="EX5" s="711"/>
      <c r="EY5" s="711"/>
      <c r="EZ5" s="711"/>
      <c r="FA5" s="711"/>
      <c r="FB5" s="711"/>
      <c r="FC5" s="711"/>
      <c r="FD5" s="711"/>
      <c r="FE5" s="711"/>
      <c r="FF5" s="711"/>
      <c r="FG5" s="711"/>
      <c r="FH5" s="711"/>
      <c r="FI5" s="711"/>
      <c r="FJ5" s="711"/>
      <c r="FK5" s="711"/>
      <c r="FL5" s="711"/>
      <c r="FM5" s="711"/>
      <c r="FN5" s="711"/>
      <c r="FO5" s="711"/>
      <c r="FP5" s="711"/>
      <c r="FQ5" s="711"/>
      <c r="FR5" s="711"/>
      <c r="FS5" s="711"/>
      <c r="FT5" s="711"/>
      <c r="FU5" s="711"/>
      <c r="FV5" s="711"/>
      <c r="FW5" s="711"/>
      <c r="FX5" s="711"/>
      <c r="FY5" s="711"/>
      <c r="FZ5" s="711"/>
      <c r="GA5" s="711"/>
      <c r="GB5" s="711"/>
      <c r="GC5" s="711"/>
      <c r="GD5" s="711"/>
      <c r="GE5" s="711"/>
      <c r="GF5" s="711"/>
      <c r="GG5" s="711"/>
      <c r="GH5" s="712"/>
      <c r="GI5" s="644" t="s">
        <v>172</v>
      </c>
      <c r="GJ5" s="705" t="s">
        <v>87</v>
      </c>
      <c r="GK5" s="706"/>
      <c r="GL5" s="706"/>
      <c r="GM5" s="706"/>
      <c r="GN5" s="707"/>
    </row>
    <row r="6" spans="1:196" s="534" customFormat="1" ht="42" customHeight="1" hidden="1">
      <c r="A6" s="645"/>
      <c r="B6" s="673"/>
      <c r="C6" s="674" t="s">
        <v>439</v>
      </c>
      <c r="D6" s="648" t="s">
        <v>443</v>
      </c>
      <c r="E6" s="648"/>
      <c r="F6" s="648"/>
      <c r="G6" s="648"/>
      <c r="H6" s="648"/>
      <c r="I6" s="648"/>
      <c r="J6" s="648" t="s">
        <v>445</v>
      </c>
      <c r="K6" s="648"/>
      <c r="L6" s="648"/>
      <c r="M6" s="648"/>
      <c r="N6" s="648"/>
      <c r="O6" s="648"/>
      <c r="P6" s="648"/>
      <c r="Q6" s="648"/>
      <c r="R6" s="648"/>
      <c r="S6" s="648"/>
      <c r="T6" s="648"/>
      <c r="U6" s="648"/>
      <c r="V6" s="648"/>
      <c r="W6" s="648"/>
      <c r="X6" s="648"/>
      <c r="Y6" s="648"/>
      <c r="Z6" s="648"/>
      <c r="AA6" s="648"/>
      <c r="AB6" s="648"/>
      <c r="AC6" s="648"/>
      <c r="AD6" s="648"/>
      <c r="AE6" s="648"/>
      <c r="AF6" s="648"/>
      <c r="AG6" s="648"/>
      <c r="AH6" s="648"/>
      <c r="AI6" s="648"/>
      <c r="AJ6" s="648"/>
      <c r="AK6" s="648"/>
      <c r="AL6" s="648"/>
      <c r="AM6" s="648"/>
      <c r="AN6" s="648"/>
      <c r="AO6" s="648"/>
      <c r="AP6" s="648"/>
      <c r="AQ6" s="648"/>
      <c r="AR6" s="648"/>
      <c r="AS6" s="648"/>
      <c r="AT6" s="648"/>
      <c r="AU6" s="648"/>
      <c r="AV6" s="648"/>
      <c r="AW6" s="648"/>
      <c r="AX6" s="648"/>
      <c r="AY6" s="699" t="s">
        <v>446</v>
      </c>
      <c r="AZ6" s="699"/>
      <c r="BA6" s="699"/>
      <c r="BB6" s="699"/>
      <c r="BC6" s="699"/>
      <c r="BD6" s="699"/>
      <c r="BE6" s="699"/>
      <c r="BF6" s="699"/>
      <c r="BG6" s="699"/>
      <c r="BH6" s="699"/>
      <c r="BI6" s="699"/>
      <c r="BJ6" s="699"/>
      <c r="BK6" s="699"/>
      <c r="BL6" s="699"/>
      <c r="BM6" s="699"/>
      <c r="BN6" s="699"/>
      <c r="BO6" s="699"/>
      <c r="BP6" s="699"/>
      <c r="BQ6" s="699"/>
      <c r="BR6" s="699"/>
      <c r="BS6" s="699"/>
      <c r="BT6" s="699"/>
      <c r="BU6" s="699"/>
      <c r="BV6" s="699"/>
      <c r="BW6" s="699"/>
      <c r="BX6" s="699"/>
      <c r="BY6" s="699"/>
      <c r="BZ6" s="699"/>
      <c r="CA6" s="699"/>
      <c r="CB6" s="699"/>
      <c r="CC6" s="699"/>
      <c r="CD6" s="699" t="s">
        <v>447</v>
      </c>
      <c r="CE6" s="699"/>
      <c r="CF6" s="699"/>
      <c r="CG6" s="699"/>
      <c r="CH6" s="699"/>
      <c r="CI6" s="699"/>
      <c r="CJ6" s="699"/>
      <c r="CK6" s="699"/>
      <c r="CL6" s="699"/>
      <c r="CM6" s="699"/>
      <c r="CN6" s="699"/>
      <c r="CO6" s="699"/>
      <c r="CP6" s="699"/>
      <c r="CQ6" s="699"/>
      <c r="CR6" s="644"/>
      <c r="CS6" s="656" t="s">
        <v>440</v>
      </c>
      <c r="CT6" s="648" t="s">
        <v>460</v>
      </c>
      <c r="CU6" s="648"/>
      <c r="CV6" s="648"/>
      <c r="CW6" s="648"/>
      <c r="CX6" s="648"/>
      <c r="CY6" s="648"/>
      <c r="CZ6" s="649" t="s">
        <v>461</v>
      </c>
      <c r="DA6" s="650"/>
      <c r="DB6" s="650"/>
      <c r="DC6" s="650"/>
      <c r="DD6" s="650"/>
      <c r="DE6" s="650"/>
      <c r="DF6" s="650"/>
      <c r="DG6" s="650"/>
      <c r="DH6" s="650"/>
      <c r="DI6" s="650"/>
      <c r="DJ6" s="650"/>
      <c r="DK6" s="650"/>
      <c r="DL6" s="650"/>
      <c r="DM6" s="650"/>
      <c r="DN6" s="650"/>
      <c r="DO6" s="650"/>
      <c r="DP6" s="650"/>
      <c r="DQ6" s="650"/>
      <c r="DR6" s="650"/>
      <c r="DS6" s="650"/>
      <c r="DT6" s="650"/>
      <c r="DU6" s="650"/>
      <c r="DV6" s="650"/>
      <c r="DW6" s="650"/>
      <c r="DX6" s="650"/>
      <c r="DY6" s="650"/>
      <c r="DZ6" s="650"/>
      <c r="EA6" s="650"/>
      <c r="EB6" s="650"/>
      <c r="EC6" s="650"/>
      <c r="ED6" s="650"/>
      <c r="EE6" s="650"/>
      <c r="EF6" s="650"/>
      <c r="EG6" s="650"/>
      <c r="EH6" s="650"/>
      <c r="EI6" s="650"/>
      <c r="EJ6" s="650"/>
      <c r="EK6" s="650"/>
      <c r="EL6" s="650"/>
      <c r="EM6" s="650"/>
      <c r="EN6" s="651"/>
      <c r="EO6" s="690" t="s">
        <v>462</v>
      </c>
      <c r="EP6" s="691"/>
      <c r="EQ6" s="691"/>
      <c r="ER6" s="691"/>
      <c r="ES6" s="691"/>
      <c r="ET6" s="691"/>
      <c r="EU6" s="691"/>
      <c r="EV6" s="691"/>
      <c r="EW6" s="691"/>
      <c r="EX6" s="691"/>
      <c r="EY6" s="691"/>
      <c r="EZ6" s="691"/>
      <c r="FA6" s="691"/>
      <c r="FB6" s="691"/>
      <c r="FC6" s="691"/>
      <c r="FD6" s="691"/>
      <c r="FE6" s="691"/>
      <c r="FF6" s="691"/>
      <c r="FG6" s="691"/>
      <c r="FH6" s="691"/>
      <c r="FI6" s="691"/>
      <c r="FJ6" s="691"/>
      <c r="FK6" s="691"/>
      <c r="FL6" s="691"/>
      <c r="FM6" s="691"/>
      <c r="FN6" s="691"/>
      <c r="FO6" s="691"/>
      <c r="FP6" s="691"/>
      <c r="FQ6" s="691"/>
      <c r="FR6" s="691"/>
      <c r="FS6" s="692"/>
      <c r="FT6" s="690" t="s">
        <v>463</v>
      </c>
      <c r="FU6" s="691"/>
      <c r="FV6" s="691"/>
      <c r="FW6" s="691"/>
      <c r="FX6" s="691"/>
      <c r="FY6" s="691"/>
      <c r="FZ6" s="691"/>
      <c r="GA6" s="691"/>
      <c r="GB6" s="691"/>
      <c r="GC6" s="691"/>
      <c r="GD6" s="691"/>
      <c r="GE6" s="691"/>
      <c r="GF6" s="691"/>
      <c r="GG6" s="691"/>
      <c r="GH6" s="683" t="s">
        <v>219</v>
      </c>
      <c r="GI6" s="644"/>
      <c r="GJ6" s="644" t="s">
        <v>78</v>
      </c>
      <c r="GK6" s="644" t="s">
        <v>624</v>
      </c>
      <c r="GL6" s="644" t="s">
        <v>622</v>
      </c>
      <c r="GM6" s="644" t="s">
        <v>77</v>
      </c>
      <c r="GN6" s="644" t="s">
        <v>623</v>
      </c>
    </row>
    <row r="7" spans="1:196" s="535" customFormat="1" ht="12" customHeight="1" hidden="1">
      <c r="A7" s="645"/>
      <c r="B7" s="673"/>
      <c r="C7" s="674"/>
      <c r="D7" s="681" t="s">
        <v>444</v>
      </c>
      <c r="E7" s="681"/>
      <c r="F7" s="681"/>
      <c r="G7" s="681"/>
      <c r="H7" s="681"/>
      <c r="I7" s="681"/>
      <c r="J7" s="701" t="s">
        <v>464</v>
      </c>
      <c r="K7" s="644" t="s">
        <v>468</v>
      </c>
      <c r="L7" s="644" t="s">
        <v>469</v>
      </c>
      <c r="M7" s="648" t="s">
        <v>173</v>
      </c>
      <c r="N7" s="648"/>
      <c r="O7" s="648"/>
      <c r="P7" s="648"/>
      <c r="Q7" s="648"/>
      <c r="R7" s="648"/>
      <c r="S7" s="648"/>
      <c r="T7" s="648"/>
      <c r="U7" s="648" t="s">
        <v>174</v>
      </c>
      <c r="V7" s="648"/>
      <c r="W7" s="648"/>
      <c r="X7" s="644" t="s">
        <v>277</v>
      </c>
      <c r="Y7" s="644" t="s">
        <v>175</v>
      </c>
      <c r="Z7" s="644" t="s">
        <v>176</v>
      </c>
      <c r="AA7" s="644" t="s">
        <v>177</v>
      </c>
      <c r="AB7" s="648" t="s">
        <v>178</v>
      </c>
      <c r="AC7" s="648"/>
      <c r="AD7" s="648"/>
      <c r="AE7" s="648"/>
      <c r="AF7" s="648"/>
      <c r="AG7" s="648"/>
      <c r="AH7" s="648" t="s">
        <v>179</v>
      </c>
      <c r="AI7" s="648"/>
      <c r="AJ7" s="648"/>
      <c r="AK7" s="648"/>
      <c r="AL7" s="648"/>
      <c r="AM7" s="648"/>
      <c r="AN7" s="648"/>
      <c r="AO7" s="648"/>
      <c r="AP7" s="648"/>
      <c r="AQ7" s="648"/>
      <c r="AR7" s="648"/>
      <c r="AS7" s="648"/>
      <c r="AT7" s="644" t="s">
        <v>180</v>
      </c>
      <c r="AU7" s="644" t="s">
        <v>482</v>
      </c>
      <c r="AV7" s="644" t="s">
        <v>474</v>
      </c>
      <c r="AW7" s="644" t="s">
        <v>181</v>
      </c>
      <c r="AX7" s="644" t="s">
        <v>236</v>
      </c>
      <c r="AY7" s="682" t="s">
        <v>633</v>
      </c>
      <c r="AZ7" s="682" t="s">
        <v>448</v>
      </c>
      <c r="BA7" s="682" t="s">
        <v>449</v>
      </c>
      <c r="BB7" s="648" t="s">
        <v>182</v>
      </c>
      <c r="BC7" s="648"/>
      <c r="BD7" s="648"/>
      <c r="BE7" s="648"/>
      <c r="BF7" s="648"/>
      <c r="BG7" s="648"/>
      <c r="BH7" s="648"/>
      <c r="BI7" s="648"/>
      <c r="BJ7" s="648"/>
      <c r="BK7" s="648"/>
      <c r="BL7" s="648"/>
      <c r="BM7" s="648"/>
      <c r="BN7" s="648"/>
      <c r="BO7" s="648"/>
      <c r="BP7" s="648"/>
      <c r="BQ7" s="648" t="s">
        <v>183</v>
      </c>
      <c r="BR7" s="648"/>
      <c r="BS7" s="648"/>
      <c r="BT7" s="648"/>
      <c r="BU7" s="648"/>
      <c r="BV7" s="648"/>
      <c r="BW7" s="648"/>
      <c r="BX7" s="648"/>
      <c r="BY7" s="648"/>
      <c r="BZ7" s="648"/>
      <c r="CA7" s="648"/>
      <c r="CB7" s="648"/>
      <c r="CC7" s="648"/>
      <c r="CD7" s="682" t="s">
        <v>632</v>
      </c>
      <c r="CE7" s="682" t="s">
        <v>448</v>
      </c>
      <c r="CF7" s="682" t="s">
        <v>449</v>
      </c>
      <c r="CG7" s="647" t="s">
        <v>448</v>
      </c>
      <c r="CH7" s="647"/>
      <c r="CI7" s="647"/>
      <c r="CJ7" s="647" t="s">
        <v>449</v>
      </c>
      <c r="CK7" s="647"/>
      <c r="CL7" s="647"/>
      <c r="CM7" s="647"/>
      <c r="CN7" s="647"/>
      <c r="CO7" s="647"/>
      <c r="CP7" s="647"/>
      <c r="CQ7" s="647"/>
      <c r="CR7" s="644"/>
      <c r="CS7" s="657"/>
      <c r="CT7" s="693" t="s">
        <v>444</v>
      </c>
      <c r="CU7" s="694"/>
      <c r="CV7" s="694"/>
      <c r="CW7" s="694"/>
      <c r="CX7" s="694"/>
      <c r="CY7" s="695"/>
      <c r="CZ7" s="696" t="s">
        <v>466</v>
      </c>
      <c r="DA7" s="653" t="s">
        <v>468</v>
      </c>
      <c r="DB7" s="653" t="s">
        <v>469</v>
      </c>
      <c r="DC7" s="675" t="s">
        <v>173</v>
      </c>
      <c r="DD7" s="676"/>
      <c r="DE7" s="676"/>
      <c r="DF7" s="676"/>
      <c r="DG7" s="676"/>
      <c r="DH7" s="676"/>
      <c r="DI7" s="676"/>
      <c r="DJ7" s="677"/>
      <c r="DK7" s="649" t="s">
        <v>174</v>
      </c>
      <c r="DL7" s="650"/>
      <c r="DM7" s="651"/>
      <c r="DN7" s="653" t="s">
        <v>277</v>
      </c>
      <c r="DO7" s="653" t="s">
        <v>175</v>
      </c>
      <c r="DP7" s="653" t="s">
        <v>176</v>
      </c>
      <c r="DQ7" s="653" t="s">
        <v>177</v>
      </c>
      <c r="DR7" s="649" t="s">
        <v>178</v>
      </c>
      <c r="DS7" s="650"/>
      <c r="DT7" s="650"/>
      <c r="DU7" s="650"/>
      <c r="DV7" s="650"/>
      <c r="DW7" s="651"/>
      <c r="DX7" s="648" t="s">
        <v>179</v>
      </c>
      <c r="DY7" s="648"/>
      <c r="DZ7" s="648"/>
      <c r="EA7" s="648"/>
      <c r="EB7" s="648"/>
      <c r="EC7" s="648"/>
      <c r="ED7" s="648"/>
      <c r="EE7" s="648"/>
      <c r="EF7" s="648"/>
      <c r="EG7" s="648"/>
      <c r="EH7" s="648"/>
      <c r="EI7" s="648"/>
      <c r="EJ7" s="653" t="s">
        <v>180</v>
      </c>
      <c r="EK7" s="653" t="s">
        <v>482</v>
      </c>
      <c r="EL7" s="653" t="s">
        <v>474</v>
      </c>
      <c r="EM7" s="653" t="s">
        <v>181</v>
      </c>
      <c r="EN7" s="653" t="s">
        <v>494</v>
      </c>
      <c r="EO7" s="669" t="s">
        <v>634</v>
      </c>
      <c r="EP7" s="669" t="s">
        <v>448</v>
      </c>
      <c r="EQ7" s="669" t="s">
        <v>449</v>
      </c>
      <c r="ER7" s="649" t="s">
        <v>182</v>
      </c>
      <c r="ES7" s="650"/>
      <c r="ET7" s="650"/>
      <c r="EU7" s="650"/>
      <c r="EV7" s="650"/>
      <c r="EW7" s="650"/>
      <c r="EX7" s="650"/>
      <c r="EY7" s="650"/>
      <c r="EZ7" s="650"/>
      <c r="FA7" s="650"/>
      <c r="FB7" s="650"/>
      <c r="FC7" s="650"/>
      <c r="FD7" s="650"/>
      <c r="FE7" s="650"/>
      <c r="FF7" s="650"/>
      <c r="FG7" s="649" t="s">
        <v>183</v>
      </c>
      <c r="FH7" s="650"/>
      <c r="FI7" s="650"/>
      <c r="FJ7" s="650"/>
      <c r="FK7" s="650"/>
      <c r="FL7" s="650"/>
      <c r="FM7" s="650"/>
      <c r="FN7" s="650"/>
      <c r="FO7" s="650"/>
      <c r="FP7" s="650"/>
      <c r="FQ7" s="650"/>
      <c r="FR7" s="650"/>
      <c r="FS7" s="651"/>
      <c r="FT7" s="666" t="s">
        <v>635</v>
      </c>
      <c r="FU7" s="666" t="s">
        <v>448</v>
      </c>
      <c r="FV7" s="666" t="s">
        <v>449</v>
      </c>
      <c r="FW7" s="659" t="s">
        <v>457</v>
      </c>
      <c r="FX7" s="660"/>
      <c r="FY7" s="660"/>
      <c r="FZ7" s="647" t="s">
        <v>449</v>
      </c>
      <c r="GA7" s="647"/>
      <c r="GB7" s="647"/>
      <c r="GC7" s="647"/>
      <c r="GD7" s="647"/>
      <c r="GE7" s="647"/>
      <c r="GF7" s="647"/>
      <c r="GG7" s="647"/>
      <c r="GH7" s="684"/>
      <c r="GI7" s="644"/>
      <c r="GJ7" s="644"/>
      <c r="GK7" s="644"/>
      <c r="GL7" s="644"/>
      <c r="GM7" s="644"/>
      <c r="GN7" s="644"/>
    </row>
    <row r="8" spans="1:196" s="33" customFormat="1" ht="11.25" customHeight="1">
      <c r="A8" s="645"/>
      <c r="B8" s="673"/>
      <c r="C8" s="674"/>
      <c r="D8" s="682" t="s">
        <v>467</v>
      </c>
      <c r="E8" s="644" t="s">
        <v>190</v>
      </c>
      <c r="F8" s="644" t="s">
        <v>192</v>
      </c>
      <c r="G8" s="644" t="s">
        <v>237</v>
      </c>
      <c r="H8" s="644" t="s">
        <v>191</v>
      </c>
      <c r="I8" s="644" t="s">
        <v>236</v>
      </c>
      <c r="J8" s="701"/>
      <c r="K8" s="644" t="s">
        <v>193</v>
      </c>
      <c r="L8" s="644" t="s">
        <v>193</v>
      </c>
      <c r="M8" s="644" t="s">
        <v>194</v>
      </c>
      <c r="N8" s="644"/>
      <c r="O8" s="644"/>
      <c r="P8" s="644"/>
      <c r="Q8" s="644"/>
      <c r="R8" s="644" t="s">
        <v>195</v>
      </c>
      <c r="S8" s="644"/>
      <c r="T8" s="644"/>
      <c r="U8" s="644" t="s">
        <v>486</v>
      </c>
      <c r="V8" s="644" t="s">
        <v>484</v>
      </c>
      <c r="W8" s="644" t="s">
        <v>485</v>
      </c>
      <c r="X8" s="644" t="s">
        <v>196</v>
      </c>
      <c r="Y8" s="644" t="s">
        <v>197</v>
      </c>
      <c r="Z8" s="644" t="s">
        <v>196</v>
      </c>
      <c r="AA8" s="644" t="s">
        <v>196</v>
      </c>
      <c r="AB8" s="644" t="s">
        <v>198</v>
      </c>
      <c r="AC8" s="644" t="s">
        <v>199</v>
      </c>
      <c r="AD8" s="644" t="s">
        <v>200</v>
      </c>
      <c r="AE8" s="644" t="s">
        <v>201</v>
      </c>
      <c r="AF8" s="644" t="s">
        <v>202</v>
      </c>
      <c r="AG8" s="644" t="s">
        <v>551</v>
      </c>
      <c r="AH8" s="644" t="s">
        <v>203</v>
      </c>
      <c r="AI8" s="644"/>
      <c r="AJ8" s="644"/>
      <c r="AK8" s="644" t="s">
        <v>204</v>
      </c>
      <c r="AL8" s="644"/>
      <c r="AM8" s="644" t="s">
        <v>205</v>
      </c>
      <c r="AN8" s="644" t="s">
        <v>206</v>
      </c>
      <c r="AO8" s="644"/>
      <c r="AP8" s="644"/>
      <c r="AQ8" s="644"/>
      <c r="AR8" s="644"/>
      <c r="AS8" s="644"/>
      <c r="AT8" s="644" t="s">
        <v>196</v>
      </c>
      <c r="AU8" s="644" t="s">
        <v>207</v>
      </c>
      <c r="AV8" s="644" t="s">
        <v>207</v>
      </c>
      <c r="AW8" s="644" t="s">
        <v>208</v>
      </c>
      <c r="AX8" s="644"/>
      <c r="AY8" s="682"/>
      <c r="AZ8" s="682"/>
      <c r="BA8" s="682"/>
      <c r="BB8" s="652" t="s">
        <v>448</v>
      </c>
      <c r="BC8" s="652"/>
      <c r="BD8" s="652"/>
      <c r="BE8" s="652"/>
      <c r="BF8" s="652"/>
      <c r="BG8" s="652"/>
      <c r="BH8" s="652"/>
      <c r="BI8" s="652"/>
      <c r="BJ8" s="652" t="s">
        <v>449</v>
      </c>
      <c r="BK8" s="652"/>
      <c r="BL8" s="652"/>
      <c r="BM8" s="652"/>
      <c r="BN8" s="652"/>
      <c r="BO8" s="652"/>
      <c r="BP8" s="652"/>
      <c r="BQ8" s="652" t="s">
        <v>448</v>
      </c>
      <c r="BR8" s="652"/>
      <c r="BS8" s="652"/>
      <c r="BT8" s="652"/>
      <c r="BU8" s="652"/>
      <c r="BV8" s="652"/>
      <c r="BW8" s="652"/>
      <c r="BX8" s="652"/>
      <c r="BY8" s="652" t="s">
        <v>449</v>
      </c>
      <c r="BZ8" s="652"/>
      <c r="CA8" s="652"/>
      <c r="CB8" s="652"/>
      <c r="CC8" s="652"/>
      <c r="CD8" s="682"/>
      <c r="CE8" s="682"/>
      <c r="CF8" s="682"/>
      <c r="CG8" s="644" t="s">
        <v>184</v>
      </c>
      <c r="CH8" s="644"/>
      <c r="CI8" s="644" t="s">
        <v>499</v>
      </c>
      <c r="CJ8" s="644" t="s">
        <v>184</v>
      </c>
      <c r="CK8" s="644" t="s">
        <v>185</v>
      </c>
      <c r="CL8" s="644" t="s">
        <v>186</v>
      </c>
      <c r="CM8" s="644" t="s">
        <v>187</v>
      </c>
      <c r="CN8" s="644" t="s">
        <v>188</v>
      </c>
      <c r="CO8" s="644" t="s">
        <v>230</v>
      </c>
      <c r="CP8" s="644" t="s">
        <v>470</v>
      </c>
      <c r="CQ8" s="644" t="s">
        <v>471</v>
      </c>
      <c r="CR8" s="644"/>
      <c r="CS8" s="657"/>
      <c r="CT8" s="678" t="s">
        <v>465</v>
      </c>
      <c r="CU8" s="642" t="s">
        <v>190</v>
      </c>
      <c r="CV8" s="642" t="s">
        <v>192</v>
      </c>
      <c r="CW8" s="642" t="s">
        <v>237</v>
      </c>
      <c r="CX8" s="642" t="s">
        <v>191</v>
      </c>
      <c r="CY8" s="642" t="s">
        <v>236</v>
      </c>
      <c r="CZ8" s="697"/>
      <c r="DA8" s="654" t="s">
        <v>193</v>
      </c>
      <c r="DB8" s="654" t="s">
        <v>193</v>
      </c>
      <c r="DC8" s="663" t="s">
        <v>194</v>
      </c>
      <c r="DD8" s="664"/>
      <c r="DE8" s="664"/>
      <c r="DF8" s="664"/>
      <c r="DG8" s="665"/>
      <c r="DH8" s="663" t="s">
        <v>195</v>
      </c>
      <c r="DI8" s="664"/>
      <c r="DJ8" s="665"/>
      <c r="DK8" s="645" t="s">
        <v>486</v>
      </c>
      <c r="DL8" s="645" t="s">
        <v>484</v>
      </c>
      <c r="DM8" s="645" t="s">
        <v>485</v>
      </c>
      <c r="DN8" s="654" t="s">
        <v>196</v>
      </c>
      <c r="DO8" s="654" t="s">
        <v>197</v>
      </c>
      <c r="DP8" s="654" t="s">
        <v>196</v>
      </c>
      <c r="DQ8" s="654" t="s">
        <v>196</v>
      </c>
      <c r="DR8" s="642" t="s">
        <v>198</v>
      </c>
      <c r="DS8" s="642" t="s">
        <v>199</v>
      </c>
      <c r="DT8" s="642" t="s">
        <v>200</v>
      </c>
      <c r="DU8" s="642" t="s">
        <v>201</v>
      </c>
      <c r="DV8" s="642" t="s">
        <v>202</v>
      </c>
      <c r="DW8" s="642" t="s">
        <v>551</v>
      </c>
      <c r="DX8" s="662" t="s">
        <v>203</v>
      </c>
      <c r="DY8" s="662"/>
      <c r="DZ8" s="686"/>
      <c r="EA8" s="661" t="s">
        <v>204</v>
      </c>
      <c r="EB8" s="686"/>
      <c r="EC8" s="642" t="s">
        <v>205</v>
      </c>
      <c r="ED8" s="661" t="s">
        <v>206</v>
      </c>
      <c r="EE8" s="662"/>
      <c r="EF8" s="662"/>
      <c r="EG8" s="662"/>
      <c r="EH8" s="662"/>
      <c r="EI8" s="686"/>
      <c r="EJ8" s="654" t="s">
        <v>196</v>
      </c>
      <c r="EK8" s="654" t="s">
        <v>207</v>
      </c>
      <c r="EL8" s="654" t="s">
        <v>207</v>
      </c>
      <c r="EM8" s="654" t="s">
        <v>208</v>
      </c>
      <c r="EN8" s="654"/>
      <c r="EO8" s="670"/>
      <c r="EP8" s="670"/>
      <c r="EQ8" s="670"/>
      <c r="ER8" s="687" t="s">
        <v>448</v>
      </c>
      <c r="ES8" s="688"/>
      <c r="ET8" s="688"/>
      <c r="EU8" s="688"/>
      <c r="EV8" s="688"/>
      <c r="EW8" s="688"/>
      <c r="EX8" s="688"/>
      <c r="EY8" s="689"/>
      <c r="EZ8" s="687" t="s">
        <v>449</v>
      </c>
      <c r="FA8" s="688"/>
      <c r="FB8" s="688"/>
      <c r="FC8" s="688"/>
      <c r="FD8" s="688"/>
      <c r="FE8" s="688"/>
      <c r="FF8" s="688"/>
      <c r="FG8" s="652" t="s">
        <v>448</v>
      </c>
      <c r="FH8" s="652"/>
      <c r="FI8" s="652"/>
      <c r="FJ8" s="652"/>
      <c r="FK8" s="652"/>
      <c r="FL8" s="652"/>
      <c r="FM8" s="652"/>
      <c r="FN8" s="652"/>
      <c r="FO8" s="687" t="s">
        <v>449</v>
      </c>
      <c r="FP8" s="688"/>
      <c r="FQ8" s="688"/>
      <c r="FR8" s="688"/>
      <c r="FS8" s="689"/>
      <c r="FT8" s="667"/>
      <c r="FU8" s="667"/>
      <c r="FV8" s="667"/>
      <c r="FW8" s="661" t="s">
        <v>184</v>
      </c>
      <c r="FX8" s="686"/>
      <c r="FY8" s="642" t="s">
        <v>499</v>
      </c>
      <c r="FZ8" s="642" t="s">
        <v>184</v>
      </c>
      <c r="GA8" s="642" t="s">
        <v>185</v>
      </c>
      <c r="GB8" s="642" t="s">
        <v>186</v>
      </c>
      <c r="GC8" s="642" t="s">
        <v>187</v>
      </c>
      <c r="GD8" s="642" t="s">
        <v>188</v>
      </c>
      <c r="GE8" s="642" t="s">
        <v>230</v>
      </c>
      <c r="GF8" s="642" t="s">
        <v>470</v>
      </c>
      <c r="GG8" s="642" t="s">
        <v>471</v>
      </c>
      <c r="GH8" s="684"/>
      <c r="GI8" s="644"/>
      <c r="GJ8" s="644"/>
      <c r="GK8" s="644"/>
      <c r="GL8" s="644"/>
      <c r="GM8" s="644"/>
      <c r="GN8" s="644"/>
    </row>
    <row r="9" spans="1:196" s="33" customFormat="1" ht="11.25" customHeight="1">
      <c r="A9" s="645"/>
      <c r="B9" s="673"/>
      <c r="C9" s="674"/>
      <c r="D9" s="682"/>
      <c r="E9" s="644"/>
      <c r="F9" s="644"/>
      <c r="G9" s="644"/>
      <c r="H9" s="644"/>
      <c r="I9" s="644"/>
      <c r="J9" s="701"/>
      <c r="K9" s="644" t="s">
        <v>220</v>
      </c>
      <c r="L9" s="644" t="s">
        <v>220</v>
      </c>
      <c r="M9" s="644" t="s">
        <v>27</v>
      </c>
      <c r="N9" s="644" t="s">
        <v>441</v>
      </c>
      <c r="O9" s="644" t="s">
        <v>479</v>
      </c>
      <c r="P9" s="644" t="s">
        <v>442</v>
      </c>
      <c r="Q9" s="644" t="s">
        <v>480</v>
      </c>
      <c r="R9" s="644" t="s">
        <v>221</v>
      </c>
      <c r="S9" s="644" t="s">
        <v>441</v>
      </c>
      <c r="T9" s="644" t="s">
        <v>478</v>
      </c>
      <c r="U9" s="644"/>
      <c r="V9" s="644"/>
      <c r="W9" s="644"/>
      <c r="X9" s="644" t="s">
        <v>82</v>
      </c>
      <c r="Y9" s="644" t="s">
        <v>222</v>
      </c>
      <c r="Z9" s="644" t="s">
        <v>223</v>
      </c>
      <c r="AA9" s="644" t="s">
        <v>224</v>
      </c>
      <c r="AB9" s="644"/>
      <c r="AC9" s="644"/>
      <c r="AD9" s="644"/>
      <c r="AE9" s="644"/>
      <c r="AF9" s="644"/>
      <c r="AG9" s="644"/>
      <c r="AH9" s="644" t="s">
        <v>225</v>
      </c>
      <c r="AI9" s="644" t="s">
        <v>226</v>
      </c>
      <c r="AJ9" s="644" t="s">
        <v>228</v>
      </c>
      <c r="AK9" s="644" t="s">
        <v>229</v>
      </c>
      <c r="AL9" s="644" t="s">
        <v>231</v>
      </c>
      <c r="AM9" s="644"/>
      <c r="AN9" s="644" t="s">
        <v>472</v>
      </c>
      <c r="AO9" s="644" t="s">
        <v>475</v>
      </c>
      <c r="AP9" s="644" t="s">
        <v>476</v>
      </c>
      <c r="AQ9" s="644" t="s">
        <v>227</v>
      </c>
      <c r="AR9" s="644" t="s">
        <v>483</v>
      </c>
      <c r="AS9" s="644" t="s">
        <v>191</v>
      </c>
      <c r="AT9" s="644" t="s">
        <v>232</v>
      </c>
      <c r="AU9" s="644" t="s">
        <v>233</v>
      </c>
      <c r="AV9" s="644" t="s">
        <v>233</v>
      </c>
      <c r="AW9" s="644" t="s">
        <v>234</v>
      </c>
      <c r="AX9" s="644"/>
      <c r="AY9" s="682"/>
      <c r="AZ9" s="682"/>
      <c r="BA9" s="682"/>
      <c r="BB9" s="644" t="s">
        <v>209</v>
      </c>
      <c r="BC9" s="644"/>
      <c r="BD9" s="644"/>
      <c r="BE9" s="644"/>
      <c r="BF9" s="644"/>
      <c r="BG9" s="644" t="s">
        <v>170</v>
      </c>
      <c r="BH9" s="644"/>
      <c r="BI9" s="644" t="s">
        <v>501</v>
      </c>
      <c r="BJ9" s="253" t="s">
        <v>450</v>
      </c>
      <c r="BK9" s="652" t="s">
        <v>451</v>
      </c>
      <c r="BL9" s="652"/>
      <c r="BM9" s="652"/>
      <c r="BN9" s="253" t="s">
        <v>452</v>
      </c>
      <c r="BO9" s="253" t="s">
        <v>454</v>
      </c>
      <c r="BP9" s="253" t="s">
        <v>455</v>
      </c>
      <c r="BQ9" s="644" t="s">
        <v>495</v>
      </c>
      <c r="BR9" s="644"/>
      <c r="BS9" s="644"/>
      <c r="BT9" s="644"/>
      <c r="BU9" s="644" t="s">
        <v>496</v>
      </c>
      <c r="BV9" s="644"/>
      <c r="BW9" s="644"/>
      <c r="BX9" s="644"/>
      <c r="BY9" s="644" t="s">
        <v>456</v>
      </c>
      <c r="BZ9" s="644" t="s">
        <v>473</v>
      </c>
      <c r="CA9" s="644" t="s">
        <v>615</v>
      </c>
      <c r="CB9" s="644" t="s">
        <v>216</v>
      </c>
      <c r="CC9" s="644" t="s">
        <v>217</v>
      </c>
      <c r="CD9" s="682"/>
      <c r="CE9" s="682"/>
      <c r="CF9" s="682"/>
      <c r="CG9" s="644" t="s">
        <v>192</v>
      </c>
      <c r="CH9" s="644" t="s">
        <v>191</v>
      </c>
      <c r="CI9" s="644"/>
      <c r="CJ9" s="644"/>
      <c r="CK9" s="644"/>
      <c r="CL9" s="644"/>
      <c r="CM9" s="644"/>
      <c r="CN9" s="644"/>
      <c r="CO9" s="644"/>
      <c r="CP9" s="644"/>
      <c r="CQ9" s="644"/>
      <c r="CR9" s="644"/>
      <c r="CS9" s="657"/>
      <c r="CT9" s="679"/>
      <c r="CU9" s="645"/>
      <c r="CV9" s="645"/>
      <c r="CW9" s="645"/>
      <c r="CX9" s="645"/>
      <c r="CY9" s="645"/>
      <c r="CZ9" s="697"/>
      <c r="DA9" s="654" t="s">
        <v>220</v>
      </c>
      <c r="DB9" s="654" t="s">
        <v>220</v>
      </c>
      <c r="DC9" s="645" t="s">
        <v>27</v>
      </c>
      <c r="DD9" s="645" t="s">
        <v>441</v>
      </c>
      <c r="DE9" s="645" t="s">
        <v>479</v>
      </c>
      <c r="DF9" s="645" t="s">
        <v>442</v>
      </c>
      <c r="DG9" s="645" t="s">
        <v>481</v>
      </c>
      <c r="DH9" s="642" t="s">
        <v>221</v>
      </c>
      <c r="DI9" s="645" t="s">
        <v>441</v>
      </c>
      <c r="DJ9" s="642" t="s">
        <v>478</v>
      </c>
      <c r="DK9" s="645"/>
      <c r="DL9" s="645"/>
      <c r="DM9" s="645"/>
      <c r="DN9" s="654" t="s">
        <v>82</v>
      </c>
      <c r="DO9" s="654" t="s">
        <v>222</v>
      </c>
      <c r="DP9" s="654" t="s">
        <v>223</v>
      </c>
      <c r="DQ9" s="654" t="s">
        <v>224</v>
      </c>
      <c r="DR9" s="645"/>
      <c r="DS9" s="645"/>
      <c r="DT9" s="645"/>
      <c r="DU9" s="645"/>
      <c r="DV9" s="645"/>
      <c r="DW9" s="645"/>
      <c r="DX9" s="645" t="s">
        <v>225</v>
      </c>
      <c r="DY9" s="645" t="s">
        <v>226</v>
      </c>
      <c r="DZ9" s="645" t="s">
        <v>228</v>
      </c>
      <c r="EA9" s="645" t="s">
        <v>229</v>
      </c>
      <c r="EB9" s="645" t="s">
        <v>231</v>
      </c>
      <c r="EC9" s="645"/>
      <c r="ED9" s="645" t="s">
        <v>472</v>
      </c>
      <c r="EE9" s="645" t="s">
        <v>475</v>
      </c>
      <c r="EF9" s="645" t="s">
        <v>476</v>
      </c>
      <c r="EG9" s="642" t="s">
        <v>227</v>
      </c>
      <c r="EH9" s="645" t="s">
        <v>483</v>
      </c>
      <c r="EI9" s="645" t="s">
        <v>191</v>
      </c>
      <c r="EJ9" s="654" t="s">
        <v>232</v>
      </c>
      <c r="EK9" s="654" t="s">
        <v>233</v>
      </c>
      <c r="EL9" s="654" t="s">
        <v>233</v>
      </c>
      <c r="EM9" s="654" t="s">
        <v>234</v>
      </c>
      <c r="EN9" s="654"/>
      <c r="EO9" s="670"/>
      <c r="EP9" s="670"/>
      <c r="EQ9" s="670"/>
      <c r="ER9" s="661" t="s">
        <v>209</v>
      </c>
      <c r="ES9" s="662"/>
      <c r="ET9" s="662"/>
      <c r="EU9" s="662"/>
      <c r="EV9" s="686"/>
      <c r="EW9" s="661" t="s">
        <v>170</v>
      </c>
      <c r="EX9" s="662"/>
      <c r="EY9" s="644" t="s">
        <v>501</v>
      </c>
      <c r="EZ9" s="252" t="s">
        <v>450</v>
      </c>
      <c r="FA9" s="687" t="s">
        <v>451</v>
      </c>
      <c r="FB9" s="688"/>
      <c r="FC9" s="689"/>
      <c r="FD9" s="253" t="s">
        <v>452</v>
      </c>
      <c r="FE9" s="253" t="s">
        <v>454</v>
      </c>
      <c r="FF9" s="253" t="s">
        <v>455</v>
      </c>
      <c r="FG9" s="661" t="s">
        <v>214</v>
      </c>
      <c r="FH9" s="662"/>
      <c r="FI9" s="662"/>
      <c r="FJ9" s="662"/>
      <c r="FK9" s="661" t="s">
        <v>215</v>
      </c>
      <c r="FL9" s="662"/>
      <c r="FM9" s="662"/>
      <c r="FN9" s="686"/>
      <c r="FO9" s="642" t="s">
        <v>456</v>
      </c>
      <c r="FP9" s="642" t="s">
        <v>473</v>
      </c>
      <c r="FQ9" s="642" t="s">
        <v>615</v>
      </c>
      <c r="FR9" s="642" t="s">
        <v>216</v>
      </c>
      <c r="FS9" s="642" t="s">
        <v>217</v>
      </c>
      <c r="FT9" s="667"/>
      <c r="FU9" s="667"/>
      <c r="FV9" s="667"/>
      <c r="FW9" s="645" t="s">
        <v>192</v>
      </c>
      <c r="FX9" s="645" t="s">
        <v>191</v>
      </c>
      <c r="FY9" s="645"/>
      <c r="FZ9" s="645"/>
      <c r="GA9" s="645"/>
      <c r="GB9" s="645"/>
      <c r="GC9" s="645"/>
      <c r="GD9" s="645"/>
      <c r="GE9" s="645"/>
      <c r="GF9" s="645"/>
      <c r="GG9" s="645"/>
      <c r="GH9" s="684"/>
      <c r="GI9" s="644"/>
      <c r="GJ9" s="644"/>
      <c r="GK9" s="644"/>
      <c r="GL9" s="644"/>
      <c r="GM9" s="644"/>
      <c r="GN9" s="644"/>
    </row>
    <row r="10" spans="1:196" s="33" customFormat="1" ht="11.25" customHeight="1">
      <c r="A10" s="643"/>
      <c r="B10" s="665"/>
      <c r="C10" s="674"/>
      <c r="D10" s="682"/>
      <c r="E10" s="644"/>
      <c r="F10" s="644"/>
      <c r="G10" s="644"/>
      <c r="H10" s="644"/>
      <c r="I10" s="644"/>
      <c r="J10" s="701"/>
      <c r="K10" s="644" t="s">
        <v>239</v>
      </c>
      <c r="L10" s="644" t="s">
        <v>239</v>
      </c>
      <c r="M10" s="644"/>
      <c r="N10" s="644"/>
      <c r="O10" s="644"/>
      <c r="P10" s="644"/>
      <c r="Q10" s="644"/>
      <c r="R10" s="644"/>
      <c r="S10" s="644"/>
      <c r="T10" s="644"/>
      <c r="U10" s="644"/>
      <c r="V10" s="644"/>
      <c r="W10" s="644"/>
      <c r="X10" s="644" t="s">
        <v>240</v>
      </c>
      <c r="Y10" s="644" t="s">
        <v>241</v>
      </c>
      <c r="Z10" s="644"/>
      <c r="AA10" s="644" t="s">
        <v>242</v>
      </c>
      <c r="AB10" s="644"/>
      <c r="AC10" s="644"/>
      <c r="AD10" s="644"/>
      <c r="AE10" s="644"/>
      <c r="AF10" s="644"/>
      <c r="AG10" s="644"/>
      <c r="AH10" s="644"/>
      <c r="AI10" s="644"/>
      <c r="AJ10" s="644"/>
      <c r="AK10" s="644"/>
      <c r="AL10" s="644"/>
      <c r="AM10" s="644"/>
      <c r="AN10" s="644"/>
      <c r="AO10" s="644"/>
      <c r="AP10" s="644"/>
      <c r="AQ10" s="644"/>
      <c r="AR10" s="644"/>
      <c r="AS10" s="644"/>
      <c r="AT10" s="644" t="s">
        <v>243</v>
      </c>
      <c r="AU10" s="644" t="s">
        <v>244</v>
      </c>
      <c r="AV10" s="644" t="s">
        <v>244</v>
      </c>
      <c r="AW10" s="644" t="s">
        <v>245</v>
      </c>
      <c r="AX10" s="644"/>
      <c r="AY10" s="682"/>
      <c r="AZ10" s="682"/>
      <c r="BA10" s="682"/>
      <c r="BB10" s="556" t="s">
        <v>192</v>
      </c>
      <c r="BC10" s="556" t="s">
        <v>218</v>
      </c>
      <c r="BD10" s="556" t="s">
        <v>235</v>
      </c>
      <c r="BE10" s="556" t="s">
        <v>191</v>
      </c>
      <c r="BF10" s="556" t="s">
        <v>236</v>
      </c>
      <c r="BG10" s="556" t="s">
        <v>192</v>
      </c>
      <c r="BH10" s="556" t="s">
        <v>238</v>
      </c>
      <c r="BI10" s="700"/>
      <c r="BJ10" s="556" t="s">
        <v>487</v>
      </c>
      <c r="BK10" s="556" t="s">
        <v>211</v>
      </c>
      <c r="BL10" s="556" t="s">
        <v>210</v>
      </c>
      <c r="BM10" s="556" t="s">
        <v>213</v>
      </c>
      <c r="BN10" s="556" t="s">
        <v>502</v>
      </c>
      <c r="BO10" s="556" t="s">
        <v>453</v>
      </c>
      <c r="BP10" s="556" t="s">
        <v>212</v>
      </c>
      <c r="BQ10" s="556" t="s">
        <v>235</v>
      </c>
      <c r="BR10" s="556" t="s">
        <v>192</v>
      </c>
      <c r="BS10" s="556" t="s">
        <v>237</v>
      </c>
      <c r="BT10" s="556" t="s">
        <v>191</v>
      </c>
      <c r="BU10" s="556" t="s">
        <v>235</v>
      </c>
      <c r="BV10" s="556" t="s">
        <v>192</v>
      </c>
      <c r="BW10" s="556" t="s">
        <v>237</v>
      </c>
      <c r="BX10" s="556" t="s">
        <v>236</v>
      </c>
      <c r="BY10" s="644"/>
      <c r="BZ10" s="644"/>
      <c r="CA10" s="644"/>
      <c r="CB10" s="644"/>
      <c r="CC10" s="644"/>
      <c r="CD10" s="682"/>
      <c r="CE10" s="682"/>
      <c r="CF10" s="682"/>
      <c r="CG10" s="644"/>
      <c r="CH10" s="644"/>
      <c r="CI10" s="644"/>
      <c r="CJ10" s="644"/>
      <c r="CK10" s="644"/>
      <c r="CL10" s="644"/>
      <c r="CM10" s="644"/>
      <c r="CN10" s="644"/>
      <c r="CO10" s="644"/>
      <c r="CP10" s="644"/>
      <c r="CQ10" s="644"/>
      <c r="CR10" s="644"/>
      <c r="CS10" s="658"/>
      <c r="CT10" s="680"/>
      <c r="CU10" s="643"/>
      <c r="CV10" s="643"/>
      <c r="CW10" s="643"/>
      <c r="CX10" s="643"/>
      <c r="CY10" s="643"/>
      <c r="CZ10" s="698"/>
      <c r="DA10" s="655" t="s">
        <v>239</v>
      </c>
      <c r="DB10" s="655" t="s">
        <v>239</v>
      </c>
      <c r="DC10" s="643"/>
      <c r="DD10" s="643"/>
      <c r="DE10" s="643"/>
      <c r="DF10" s="643"/>
      <c r="DG10" s="643"/>
      <c r="DH10" s="643"/>
      <c r="DI10" s="643"/>
      <c r="DJ10" s="643"/>
      <c r="DK10" s="643"/>
      <c r="DL10" s="643"/>
      <c r="DM10" s="643"/>
      <c r="DN10" s="655" t="s">
        <v>240</v>
      </c>
      <c r="DO10" s="655" t="s">
        <v>241</v>
      </c>
      <c r="DP10" s="655"/>
      <c r="DQ10" s="655" t="s">
        <v>242</v>
      </c>
      <c r="DR10" s="643"/>
      <c r="DS10" s="643"/>
      <c r="DT10" s="643"/>
      <c r="DU10" s="643"/>
      <c r="DV10" s="643"/>
      <c r="DW10" s="643"/>
      <c r="DX10" s="643"/>
      <c r="DY10" s="643"/>
      <c r="DZ10" s="643"/>
      <c r="EA10" s="643"/>
      <c r="EB10" s="643"/>
      <c r="EC10" s="643"/>
      <c r="ED10" s="643"/>
      <c r="EE10" s="643"/>
      <c r="EF10" s="643"/>
      <c r="EG10" s="643"/>
      <c r="EH10" s="643"/>
      <c r="EI10" s="643"/>
      <c r="EJ10" s="655" t="s">
        <v>243</v>
      </c>
      <c r="EK10" s="655" t="s">
        <v>244</v>
      </c>
      <c r="EL10" s="655" t="s">
        <v>244</v>
      </c>
      <c r="EM10" s="655" t="s">
        <v>245</v>
      </c>
      <c r="EN10" s="655"/>
      <c r="EO10" s="671"/>
      <c r="EP10" s="671"/>
      <c r="EQ10" s="671"/>
      <c r="ER10" s="251" t="s">
        <v>192</v>
      </c>
      <c r="ES10" s="251" t="s">
        <v>218</v>
      </c>
      <c r="ET10" s="251" t="s">
        <v>235</v>
      </c>
      <c r="EU10" s="251" t="s">
        <v>191</v>
      </c>
      <c r="EV10" s="251" t="s">
        <v>236</v>
      </c>
      <c r="EW10" s="251" t="s">
        <v>192</v>
      </c>
      <c r="EX10" s="257" t="s">
        <v>238</v>
      </c>
      <c r="EY10" s="644"/>
      <c r="EZ10" s="254" t="s">
        <v>487</v>
      </c>
      <c r="FA10" s="251" t="s">
        <v>211</v>
      </c>
      <c r="FB10" s="251" t="s">
        <v>210</v>
      </c>
      <c r="FC10" s="251" t="s">
        <v>213</v>
      </c>
      <c r="FD10" s="251" t="s">
        <v>502</v>
      </c>
      <c r="FE10" s="251" t="s">
        <v>453</v>
      </c>
      <c r="FF10" s="251" t="s">
        <v>212</v>
      </c>
      <c r="FG10" s="251" t="s">
        <v>235</v>
      </c>
      <c r="FH10" s="251" t="s">
        <v>192</v>
      </c>
      <c r="FI10" s="251" t="s">
        <v>237</v>
      </c>
      <c r="FJ10" s="251" t="s">
        <v>191</v>
      </c>
      <c r="FK10" s="251" t="s">
        <v>235</v>
      </c>
      <c r="FL10" s="251" t="s">
        <v>192</v>
      </c>
      <c r="FM10" s="251" t="s">
        <v>237</v>
      </c>
      <c r="FN10" s="251" t="s">
        <v>236</v>
      </c>
      <c r="FO10" s="643"/>
      <c r="FP10" s="643"/>
      <c r="FQ10" s="643"/>
      <c r="FR10" s="643"/>
      <c r="FS10" s="643"/>
      <c r="FT10" s="668"/>
      <c r="FU10" s="668"/>
      <c r="FV10" s="668"/>
      <c r="FW10" s="643"/>
      <c r="FX10" s="643"/>
      <c r="FY10" s="643"/>
      <c r="FZ10" s="643"/>
      <c r="GA10" s="643"/>
      <c r="GB10" s="643"/>
      <c r="GC10" s="643"/>
      <c r="GD10" s="643"/>
      <c r="GE10" s="643"/>
      <c r="GF10" s="643"/>
      <c r="GG10" s="643"/>
      <c r="GH10" s="685"/>
      <c r="GI10" s="644"/>
      <c r="GJ10" s="644"/>
      <c r="GK10" s="644"/>
      <c r="GL10" s="644"/>
      <c r="GM10" s="644"/>
      <c r="GN10" s="644"/>
    </row>
    <row r="11" spans="1:196" s="255" customFormat="1" ht="9.75" customHeight="1" hidden="1">
      <c r="A11" s="38" t="s">
        <v>9</v>
      </c>
      <c r="B11" s="38" t="s">
        <v>246</v>
      </c>
      <c r="C11" s="38">
        <v>1</v>
      </c>
      <c r="D11" s="38">
        <v>2</v>
      </c>
      <c r="E11" s="38">
        <v>3</v>
      </c>
      <c r="F11" s="38">
        <v>4</v>
      </c>
      <c r="G11" s="38">
        <v>5</v>
      </c>
      <c r="H11" s="38">
        <v>6</v>
      </c>
      <c r="I11" s="38">
        <v>7</v>
      </c>
      <c r="J11" s="38">
        <v>8</v>
      </c>
      <c r="K11" s="38">
        <v>9</v>
      </c>
      <c r="L11" s="38">
        <v>10</v>
      </c>
      <c r="M11" s="38">
        <v>11</v>
      </c>
      <c r="N11" s="38">
        <v>12</v>
      </c>
      <c r="O11" s="38">
        <v>13</v>
      </c>
      <c r="P11" s="38">
        <v>14</v>
      </c>
      <c r="Q11" s="38">
        <v>15</v>
      </c>
      <c r="R11" s="38">
        <v>16</v>
      </c>
      <c r="S11" s="38">
        <v>17</v>
      </c>
      <c r="T11" s="38">
        <v>18</v>
      </c>
      <c r="U11" s="38">
        <v>19</v>
      </c>
      <c r="V11" s="38">
        <v>20</v>
      </c>
      <c r="W11" s="38">
        <v>21</v>
      </c>
      <c r="X11" s="38">
        <v>22</v>
      </c>
      <c r="Y11" s="38">
        <v>23</v>
      </c>
      <c r="Z11" s="38">
        <v>24</v>
      </c>
      <c r="AA11" s="38">
        <v>25</v>
      </c>
      <c r="AB11" s="38">
        <v>26</v>
      </c>
      <c r="AC11" s="38">
        <v>27</v>
      </c>
      <c r="AD11" s="38">
        <v>28</v>
      </c>
      <c r="AE11" s="38">
        <v>29</v>
      </c>
      <c r="AF11" s="38">
        <v>30</v>
      </c>
      <c r="AG11" s="38">
        <v>31</v>
      </c>
      <c r="AH11" s="38">
        <v>32</v>
      </c>
      <c r="AI11" s="38">
        <v>33</v>
      </c>
      <c r="AJ11" s="38">
        <v>34</v>
      </c>
      <c r="AK11" s="38">
        <v>35</v>
      </c>
      <c r="AL11" s="38">
        <v>36</v>
      </c>
      <c r="AM11" s="38">
        <v>37</v>
      </c>
      <c r="AN11" s="38">
        <v>38</v>
      </c>
      <c r="AO11" s="38">
        <v>39</v>
      </c>
      <c r="AP11" s="38">
        <v>40</v>
      </c>
      <c r="AQ11" s="38">
        <v>41</v>
      </c>
      <c r="AR11" s="38">
        <v>42</v>
      </c>
      <c r="AS11" s="38">
        <v>43</v>
      </c>
      <c r="AT11" s="38">
        <v>44</v>
      </c>
      <c r="AU11" s="38">
        <v>45</v>
      </c>
      <c r="AV11" s="38">
        <v>46</v>
      </c>
      <c r="AW11" s="38">
        <v>47</v>
      </c>
      <c r="AX11" s="38">
        <v>48</v>
      </c>
      <c r="AY11" s="38">
        <v>49</v>
      </c>
      <c r="AZ11" s="38">
        <v>50</v>
      </c>
      <c r="BA11" s="38">
        <v>51</v>
      </c>
      <c r="BB11" s="38">
        <v>52</v>
      </c>
      <c r="BC11" s="38">
        <v>53</v>
      </c>
      <c r="BD11" s="38">
        <v>54</v>
      </c>
      <c r="BE11" s="38">
        <v>55</v>
      </c>
      <c r="BF11" s="38">
        <v>56</v>
      </c>
      <c r="BG11" s="38">
        <v>57</v>
      </c>
      <c r="BH11" s="38">
        <v>58</v>
      </c>
      <c r="BI11" s="38">
        <v>59</v>
      </c>
      <c r="BJ11" s="38">
        <v>60</v>
      </c>
      <c r="BK11" s="38">
        <v>61</v>
      </c>
      <c r="BL11" s="38">
        <v>62</v>
      </c>
      <c r="BM11" s="38">
        <v>63</v>
      </c>
      <c r="BN11" s="38">
        <v>64</v>
      </c>
      <c r="BO11" s="38">
        <v>65</v>
      </c>
      <c r="BP11" s="38">
        <v>66</v>
      </c>
      <c r="BQ11" s="38">
        <v>67</v>
      </c>
      <c r="BR11" s="38">
        <v>68</v>
      </c>
      <c r="BS11" s="38">
        <v>69</v>
      </c>
      <c r="BT11" s="38">
        <v>70</v>
      </c>
      <c r="BU11" s="38">
        <v>71</v>
      </c>
      <c r="BV11" s="38">
        <v>72</v>
      </c>
      <c r="BW11" s="38">
        <v>73</v>
      </c>
      <c r="BX11" s="38">
        <v>74</v>
      </c>
      <c r="BY11" s="38">
        <v>75</v>
      </c>
      <c r="BZ11" s="38">
        <v>76</v>
      </c>
      <c r="CA11" s="38">
        <v>77</v>
      </c>
      <c r="CB11" s="38">
        <v>78</v>
      </c>
      <c r="CC11" s="38">
        <v>79</v>
      </c>
      <c r="CD11" s="38">
        <v>80</v>
      </c>
      <c r="CE11" s="38">
        <v>81</v>
      </c>
      <c r="CF11" s="38">
        <v>82</v>
      </c>
      <c r="CG11" s="38">
        <v>83</v>
      </c>
      <c r="CH11" s="38">
        <v>84</v>
      </c>
      <c r="CI11" s="38">
        <v>85</v>
      </c>
      <c r="CJ11" s="38">
        <v>86</v>
      </c>
      <c r="CK11" s="38">
        <v>87</v>
      </c>
      <c r="CL11" s="38">
        <v>88</v>
      </c>
      <c r="CM11" s="38">
        <v>89</v>
      </c>
      <c r="CN11" s="38">
        <v>90</v>
      </c>
      <c r="CO11" s="38">
        <v>91</v>
      </c>
      <c r="CP11" s="38">
        <v>92</v>
      </c>
      <c r="CQ11" s="38">
        <v>93</v>
      </c>
      <c r="CR11" s="38" t="s">
        <v>10</v>
      </c>
      <c r="CS11" s="38">
        <v>1</v>
      </c>
      <c r="CT11" s="38">
        <v>2</v>
      </c>
      <c r="CU11" s="38">
        <v>3</v>
      </c>
      <c r="CV11" s="38">
        <v>4</v>
      </c>
      <c r="CW11" s="38">
        <v>5</v>
      </c>
      <c r="CX11" s="38">
        <v>6</v>
      </c>
      <c r="CY11" s="38">
        <v>7</v>
      </c>
      <c r="CZ11" s="38">
        <v>8</v>
      </c>
      <c r="DA11" s="38">
        <v>9</v>
      </c>
      <c r="DB11" s="38">
        <v>10</v>
      </c>
      <c r="DC11" s="38">
        <v>11</v>
      </c>
      <c r="DD11" s="38">
        <v>12</v>
      </c>
      <c r="DE11" s="38">
        <v>13</v>
      </c>
      <c r="DF11" s="38">
        <v>14</v>
      </c>
      <c r="DG11" s="38">
        <v>15</v>
      </c>
      <c r="DH11" s="38">
        <v>16</v>
      </c>
      <c r="DI11" s="38">
        <v>17</v>
      </c>
      <c r="DJ11" s="38">
        <v>18</v>
      </c>
      <c r="DK11" s="38">
        <v>19</v>
      </c>
      <c r="DL11" s="38">
        <v>20</v>
      </c>
      <c r="DM11" s="38">
        <v>21</v>
      </c>
      <c r="DN11" s="38">
        <v>22</v>
      </c>
      <c r="DO11" s="38">
        <v>23</v>
      </c>
      <c r="DP11" s="38">
        <v>24</v>
      </c>
      <c r="DQ11" s="38">
        <v>25</v>
      </c>
      <c r="DR11" s="38">
        <v>26</v>
      </c>
      <c r="DS11" s="38">
        <v>27</v>
      </c>
      <c r="DT11" s="38">
        <v>28</v>
      </c>
      <c r="DU11" s="38">
        <v>29</v>
      </c>
      <c r="DV11" s="38">
        <v>30</v>
      </c>
      <c r="DW11" s="38">
        <v>31</v>
      </c>
      <c r="DX11" s="38">
        <v>32</v>
      </c>
      <c r="DY11" s="38">
        <v>33</v>
      </c>
      <c r="DZ11" s="38">
        <v>34</v>
      </c>
      <c r="EA11" s="38">
        <v>35</v>
      </c>
      <c r="EB11" s="38">
        <v>36</v>
      </c>
      <c r="EC11" s="38">
        <v>37</v>
      </c>
      <c r="ED11" s="38">
        <v>38</v>
      </c>
      <c r="EE11" s="38">
        <v>39</v>
      </c>
      <c r="EF11" s="38">
        <v>40</v>
      </c>
      <c r="EG11" s="38">
        <v>41</v>
      </c>
      <c r="EH11" s="38">
        <v>42</v>
      </c>
      <c r="EI11" s="38">
        <v>43</v>
      </c>
      <c r="EJ11" s="38">
        <v>44</v>
      </c>
      <c r="EK11" s="38">
        <v>45</v>
      </c>
      <c r="EL11" s="38">
        <v>46</v>
      </c>
      <c r="EM11" s="38">
        <v>47</v>
      </c>
      <c r="EN11" s="38">
        <v>48</v>
      </c>
      <c r="EO11" s="38">
        <v>49</v>
      </c>
      <c r="EP11" s="38">
        <v>50</v>
      </c>
      <c r="EQ11" s="38">
        <v>51</v>
      </c>
      <c r="ER11" s="38">
        <v>52</v>
      </c>
      <c r="ES11" s="38">
        <v>53</v>
      </c>
      <c r="ET11" s="38">
        <v>54</v>
      </c>
      <c r="EU11" s="38">
        <v>55</v>
      </c>
      <c r="EV11" s="38">
        <v>56</v>
      </c>
      <c r="EW11" s="38">
        <v>57</v>
      </c>
      <c r="EX11" s="38">
        <v>58</v>
      </c>
      <c r="EY11" s="38">
        <v>59</v>
      </c>
      <c r="EZ11" s="38">
        <v>60</v>
      </c>
      <c r="FA11" s="38">
        <v>61</v>
      </c>
      <c r="FB11" s="38">
        <v>62</v>
      </c>
      <c r="FC11" s="38">
        <v>63</v>
      </c>
      <c r="FD11" s="38">
        <v>64</v>
      </c>
      <c r="FE11" s="38">
        <v>65</v>
      </c>
      <c r="FF11" s="38">
        <v>66</v>
      </c>
      <c r="FG11" s="38">
        <v>67</v>
      </c>
      <c r="FH11" s="38">
        <v>68</v>
      </c>
      <c r="FI11" s="38">
        <v>69</v>
      </c>
      <c r="FJ11" s="38">
        <v>70</v>
      </c>
      <c r="FK11" s="38">
        <v>71</v>
      </c>
      <c r="FL11" s="38">
        <v>72</v>
      </c>
      <c r="FM11" s="38">
        <v>73</v>
      </c>
      <c r="FN11" s="38">
        <v>74</v>
      </c>
      <c r="FO11" s="38">
        <v>75</v>
      </c>
      <c r="FP11" s="38">
        <v>76</v>
      </c>
      <c r="FQ11" s="38">
        <v>77</v>
      </c>
      <c r="FR11" s="38">
        <v>78</v>
      </c>
      <c r="FS11" s="38">
        <v>79</v>
      </c>
      <c r="FT11" s="38">
        <v>80</v>
      </c>
      <c r="FU11" s="38">
        <v>81</v>
      </c>
      <c r="FV11" s="38">
        <v>82</v>
      </c>
      <c r="FW11" s="38">
        <v>83</v>
      </c>
      <c r="FX11" s="38">
        <v>84</v>
      </c>
      <c r="FY11" s="38">
        <v>85</v>
      </c>
      <c r="FZ11" s="38">
        <v>86</v>
      </c>
      <c r="GA11" s="38">
        <v>87</v>
      </c>
      <c r="GB11" s="38">
        <v>88</v>
      </c>
      <c r="GC11" s="38">
        <v>89</v>
      </c>
      <c r="GD11" s="38">
        <v>90</v>
      </c>
      <c r="GE11" s="38">
        <v>91</v>
      </c>
      <c r="GF11" s="38">
        <v>92</v>
      </c>
      <c r="GG11" s="38">
        <v>93</v>
      </c>
      <c r="GH11" s="38">
        <v>94</v>
      </c>
      <c r="GI11" s="38" t="s">
        <v>10</v>
      </c>
      <c r="GJ11" s="38">
        <v>95</v>
      </c>
      <c r="GK11" s="38">
        <v>96</v>
      </c>
      <c r="GL11" s="38">
        <v>97</v>
      </c>
      <c r="GM11" s="38">
        <v>98</v>
      </c>
      <c r="GN11" s="38">
        <v>99</v>
      </c>
    </row>
    <row r="12" spans="1:196" s="449" customFormat="1" ht="20.25" customHeight="1">
      <c r="A12" s="445"/>
      <c r="B12" s="446" t="s">
        <v>29</v>
      </c>
      <c r="C12" s="447">
        <f aca="true" t="shared" si="0" ref="C12:AH12">C15+C18+C21+C24+C27+C30+C33+C36+C39+C42+C45+C48+C51+C54+C57+C60+C69+C63+C66+C72+C75+C81+C84+C87+C90+C93+C96+C99+C78</f>
        <v>636808287640</v>
      </c>
      <c r="D12" s="447">
        <f t="shared" si="0"/>
        <v>17794341774</v>
      </c>
      <c r="E12" s="447">
        <f t="shared" si="0"/>
        <v>286468000</v>
      </c>
      <c r="F12" s="447">
        <f t="shared" si="0"/>
        <v>10095342000</v>
      </c>
      <c r="G12" s="447">
        <f t="shared" si="0"/>
        <v>468000000</v>
      </c>
      <c r="H12" s="447">
        <f t="shared" si="0"/>
        <v>3160000000</v>
      </c>
      <c r="I12" s="447">
        <f t="shared" si="0"/>
        <v>3784531774</v>
      </c>
      <c r="J12" s="447">
        <f t="shared" si="0"/>
        <v>537634699592</v>
      </c>
      <c r="K12" s="447">
        <f t="shared" si="0"/>
        <v>4565000000</v>
      </c>
      <c r="L12" s="447">
        <f t="shared" si="0"/>
        <v>2393780000</v>
      </c>
      <c r="M12" s="447">
        <f t="shared" si="0"/>
        <v>310979478813</v>
      </c>
      <c r="N12" s="447">
        <f t="shared" si="0"/>
        <v>16143000000</v>
      </c>
      <c r="O12" s="447">
        <f t="shared" si="0"/>
        <v>19396000000</v>
      </c>
      <c r="P12" s="447">
        <f t="shared" si="0"/>
        <v>4599472000</v>
      </c>
      <c r="Q12" s="447">
        <f t="shared" si="0"/>
        <v>6846680000</v>
      </c>
      <c r="R12" s="447">
        <f t="shared" si="0"/>
        <v>607098100</v>
      </c>
      <c r="S12" s="447">
        <f t="shared" si="0"/>
        <v>35000000</v>
      </c>
      <c r="T12" s="447">
        <f t="shared" si="0"/>
        <v>4141500000</v>
      </c>
      <c r="U12" s="447">
        <f t="shared" si="0"/>
        <v>200000000</v>
      </c>
      <c r="V12" s="447">
        <f t="shared" si="0"/>
        <v>100000000</v>
      </c>
      <c r="W12" s="447">
        <f t="shared" si="0"/>
        <v>1257000000</v>
      </c>
      <c r="X12" s="447">
        <f t="shared" si="0"/>
        <v>505870359</v>
      </c>
      <c r="Y12" s="447">
        <f t="shared" si="0"/>
        <v>2706000000</v>
      </c>
      <c r="Z12" s="447">
        <f t="shared" si="0"/>
        <v>2401000000</v>
      </c>
      <c r="AA12" s="447">
        <f t="shared" si="0"/>
        <v>1312646000</v>
      </c>
      <c r="AB12" s="447">
        <f t="shared" si="0"/>
        <v>7832143000</v>
      </c>
      <c r="AC12" s="447">
        <f t="shared" si="0"/>
        <v>232300000</v>
      </c>
      <c r="AD12" s="447">
        <f t="shared" si="0"/>
        <v>13295000000</v>
      </c>
      <c r="AE12" s="447">
        <f t="shared" si="0"/>
        <v>2697990897</v>
      </c>
      <c r="AF12" s="447">
        <f t="shared" si="0"/>
        <v>5828150923</v>
      </c>
      <c r="AG12" s="447">
        <f t="shared" si="0"/>
        <v>50518919</v>
      </c>
      <c r="AH12" s="447">
        <f t="shared" si="0"/>
        <v>2005002786</v>
      </c>
      <c r="AI12" s="447">
        <f aca="true" t="shared" si="1" ref="AI12:BN12">AI15+AI18+AI21+AI24+AI27+AI30+AI33+AI36+AI39+AI42+AI45+AI48+AI51+AI54+AI57+AI60+AI69+AI63+AI66+AI72+AI75+AI81+AI84+AI87+AI90+AI93+AI96+AI99+AI78</f>
        <v>5451274577</v>
      </c>
      <c r="AJ12" s="447">
        <f t="shared" si="1"/>
        <v>1347385100</v>
      </c>
      <c r="AK12" s="447">
        <f t="shared" si="1"/>
        <v>4353814853</v>
      </c>
      <c r="AL12" s="447">
        <f t="shared" si="1"/>
        <v>25349054070</v>
      </c>
      <c r="AM12" s="447">
        <f t="shared" si="1"/>
        <v>33231041945</v>
      </c>
      <c r="AN12" s="447">
        <f t="shared" si="1"/>
        <v>571249398</v>
      </c>
      <c r="AO12" s="447">
        <f t="shared" si="1"/>
        <v>973600000</v>
      </c>
      <c r="AP12" s="447">
        <f t="shared" si="1"/>
        <v>650000000</v>
      </c>
      <c r="AQ12" s="447">
        <f t="shared" si="1"/>
        <v>439059083</v>
      </c>
      <c r="AR12" s="447">
        <f t="shared" si="1"/>
        <v>2165041607</v>
      </c>
      <c r="AS12" s="447">
        <f t="shared" si="1"/>
        <v>10184080847</v>
      </c>
      <c r="AT12" s="447">
        <f t="shared" si="1"/>
        <v>3109500000</v>
      </c>
      <c r="AU12" s="447">
        <f t="shared" si="1"/>
        <v>30369989663</v>
      </c>
      <c r="AV12" s="447">
        <f t="shared" si="1"/>
        <v>343920000</v>
      </c>
      <c r="AW12" s="447">
        <f t="shared" si="1"/>
        <v>423887180</v>
      </c>
      <c r="AX12" s="447">
        <f t="shared" si="1"/>
        <v>8541169472</v>
      </c>
      <c r="AY12" s="447">
        <f t="shared" si="1"/>
        <v>68668193729</v>
      </c>
      <c r="AZ12" s="447">
        <f t="shared" si="1"/>
        <v>65597587800</v>
      </c>
      <c r="BA12" s="447">
        <f t="shared" si="1"/>
        <v>3070605929</v>
      </c>
      <c r="BB12" s="447">
        <f t="shared" si="1"/>
        <v>1212072000</v>
      </c>
      <c r="BC12" s="447">
        <f t="shared" si="1"/>
        <v>601506000</v>
      </c>
      <c r="BD12" s="447">
        <f t="shared" si="1"/>
        <v>170000000</v>
      </c>
      <c r="BE12" s="447">
        <f t="shared" si="1"/>
        <v>405000000</v>
      </c>
      <c r="BF12" s="447">
        <f t="shared" si="1"/>
        <v>200000</v>
      </c>
      <c r="BG12" s="447">
        <f t="shared" si="1"/>
        <v>22129945000</v>
      </c>
      <c r="BH12" s="447">
        <f t="shared" si="1"/>
        <v>3516024000</v>
      </c>
      <c r="BI12" s="447">
        <f t="shared" si="1"/>
        <v>124140000</v>
      </c>
      <c r="BJ12" s="447">
        <f t="shared" si="1"/>
        <v>1233288000</v>
      </c>
      <c r="BK12" s="447">
        <f t="shared" si="1"/>
        <v>180000000</v>
      </c>
      <c r="BL12" s="447">
        <f t="shared" si="1"/>
        <v>77852502</v>
      </c>
      <c r="BM12" s="447">
        <f t="shared" si="1"/>
        <v>28249751</v>
      </c>
      <c r="BN12" s="447">
        <f t="shared" si="1"/>
        <v>2935807</v>
      </c>
      <c r="BO12" s="447">
        <f aca="true" t="shared" si="2" ref="BO12:CQ12">BO15+BO18+BO21+BO24+BO27+BO30+BO33+BO36+BO39+BO42+BO45+BO48+BO51+BO54+BO57+BO60+BO69+BO63+BO66+BO72+BO75+BO81+BO84+BO87+BO90+BO93+BO96+BO99+BO78</f>
        <v>76000000</v>
      </c>
      <c r="BP12" s="447">
        <f t="shared" si="2"/>
        <v>95000000</v>
      </c>
      <c r="BQ12" s="447">
        <f t="shared" si="2"/>
        <v>16323188000</v>
      </c>
      <c r="BR12" s="447">
        <f t="shared" si="2"/>
        <v>13155886800</v>
      </c>
      <c r="BS12" s="447">
        <f t="shared" si="2"/>
        <v>6243528000</v>
      </c>
      <c r="BT12" s="447">
        <f t="shared" si="2"/>
        <v>251898000</v>
      </c>
      <c r="BU12" s="447">
        <f t="shared" si="2"/>
        <v>135000000</v>
      </c>
      <c r="BV12" s="447">
        <f t="shared" si="2"/>
        <v>322000000</v>
      </c>
      <c r="BW12" s="447">
        <f t="shared" si="2"/>
        <v>1007000000</v>
      </c>
      <c r="BX12" s="447">
        <f t="shared" si="2"/>
        <v>200000</v>
      </c>
      <c r="BY12" s="447">
        <f t="shared" si="2"/>
        <v>197455700</v>
      </c>
      <c r="BZ12" s="447">
        <f t="shared" si="2"/>
        <v>113000000</v>
      </c>
      <c r="CA12" s="447">
        <f t="shared" si="2"/>
        <v>1920069</v>
      </c>
      <c r="CB12" s="447">
        <f t="shared" si="2"/>
        <v>995000</v>
      </c>
      <c r="CC12" s="447">
        <f t="shared" si="2"/>
        <v>1063909100</v>
      </c>
      <c r="CD12" s="447">
        <f t="shared" si="2"/>
        <v>12711052545</v>
      </c>
      <c r="CE12" s="447">
        <f t="shared" si="2"/>
        <v>3237618485</v>
      </c>
      <c r="CF12" s="447">
        <f t="shared" si="2"/>
        <v>9473434060</v>
      </c>
      <c r="CG12" s="447">
        <f t="shared" si="2"/>
        <v>2577577485</v>
      </c>
      <c r="CH12" s="447">
        <f t="shared" si="2"/>
        <v>41000</v>
      </c>
      <c r="CI12" s="447">
        <f t="shared" si="2"/>
        <v>660000000</v>
      </c>
      <c r="CJ12" s="447">
        <f t="shared" si="2"/>
        <v>710000000</v>
      </c>
      <c r="CK12" s="447">
        <f t="shared" si="2"/>
        <v>108000000</v>
      </c>
      <c r="CL12" s="447">
        <f t="shared" si="2"/>
        <v>15000000</v>
      </c>
      <c r="CM12" s="447">
        <f t="shared" si="2"/>
        <v>50000000</v>
      </c>
      <c r="CN12" s="447">
        <f t="shared" si="2"/>
        <v>4663142060</v>
      </c>
      <c r="CO12" s="447">
        <f t="shared" si="2"/>
        <v>3377292000</v>
      </c>
      <c r="CP12" s="447">
        <f t="shared" si="2"/>
        <v>480000000</v>
      </c>
      <c r="CQ12" s="447">
        <f t="shared" si="2"/>
        <v>70000000</v>
      </c>
      <c r="CR12" s="466" t="s">
        <v>29</v>
      </c>
      <c r="CS12" s="447">
        <f aca="true" t="shared" si="3" ref="CS12:DX12">CS15+CS18+CS21+CS24+CS27+CS30+CS33+CS36+CS39+CS42+CS45+CS48+CS51+CS54+CS57+CS60+CS69+CS63+CS66+CS72+CS75+CS81+CS84+CS87+CS90+CS93+CS96+CS99+CS78</f>
        <v>636395654216</v>
      </c>
      <c r="CT12" s="447">
        <f t="shared" si="3"/>
        <v>8567379000</v>
      </c>
      <c r="CU12" s="447">
        <f t="shared" si="3"/>
        <v>23750000</v>
      </c>
      <c r="CV12" s="447">
        <f t="shared" si="3"/>
        <v>6354672000</v>
      </c>
      <c r="CW12" s="447">
        <f t="shared" si="3"/>
        <v>467057000</v>
      </c>
      <c r="CX12" s="447">
        <f t="shared" si="3"/>
        <v>1721900000</v>
      </c>
      <c r="CY12" s="447">
        <f t="shared" si="3"/>
        <v>0</v>
      </c>
      <c r="CZ12" s="447">
        <f t="shared" si="3"/>
        <v>510545368569</v>
      </c>
      <c r="DA12" s="447">
        <f t="shared" si="3"/>
        <v>4549905000</v>
      </c>
      <c r="DB12" s="447">
        <f t="shared" si="3"/>
        <v>2393780000</v>
      </c>
      <c r="DC12" s="447">
        <f t="shared" si="3"/>
        <v>310778819813</v>
      </c>
      <c r="DD12" s="447">
        <f t="shared" si="3"/>
        <v>15596544500</v>
      </c>
      <c r="DE12" s="447">
        <f t="shared" si="3"/>
        <v>19396000000</v>
      </c>
      <c r="DF12" s="447">
        <f t="shared" si="3"/>
        <v>4566320000</v>
      </c>
      <c r="DG12" s="447">
        <f t="shared" si="3"/>
        <v>6829922000</v>
      </c>
      <c r="DH12" s="447">
        <f t="shared" si="3"/>
        <v>321821600</v>
      </c>
      <c r="DI12" s="447">
        <f t="shared" si="3"/>
        <v>10472000</v>
      </c>
      <c r="DJ12" s="447">
        <f t="shared" si="3"/>
        <v>3754504486</v>
      </c>
      <c r="DK12" s="447">
        <f t="shared" si="3"/>
        <v>200000000</v>
      </c>
      <c r="DL12" s="447">
        <f t="shared" si="3"/>
        <v>100000000</v>
      </c>
      <c r="DM12" s="447">
        <f t="shared" si="3"/>
        <v>1209881240</v>
      </c>
      <c r="DN12" s="447">
        <f t="shared" si="3"/>
        <v>492763031</v>
      </c>
      <c r="DO12" s="447">
        <f t="shared" si="3"/>
        <v>2668001000</v>
      </c>
      <c r="DP12" s="447">
        <f t="shared" si="3"/>
        <v>2400975000</v>
      </c>
      <c r="DQ12" s="447">
        <f t="shared" si="3"/>
        <v>1309351000</v>
      </c>
      <c r="DR12" s="447">
        <f t="shared" si="3"/>
        <v>7255234000</v>
      </c>
      <c r="DS12" s="447">
        <f t="shared" si="3"/>
        <v>183900000</v>
      </c>
      <c r="DT12" s="447">
        <f t="shared" si="3"/>
        <v>13295000000</v>
      </c>
      <c r="DU12" s="447">
        <f t="shared" si="3"/>
        <v>2518786861</v>
      </c>
      <c r="DV12" s="447">
        <f t="shared" si="3"/>
        <v>3850843258</v>
      </c>
      <c r="DW12" s="447">
        <f t="shared" si="3"/>
        <v>50518919</v>
      </c>
      <c r="DX12" s="447">
        <f t="shared" si="3"/>
        <v>1861855850</v>
      </c>
      <c r="DY12" s="447">
        <f aca="true" t="shared" si="4" ref="DY12:FD12">DY15+DY18+DY21+DY24+DY27+DY30+DY33+DY36+DY39+DY42+DY45+DY48+DY51+DY54+DY57+DY60+DY69+DY63+DY66+DY72+DY75+DY81+DY84+DY87+DY90+DY93+DY96+DY99+DY78</f>
        <v>5208258007</v>
      </c>
      <c r="DZ12" s="447">
        <f t="shared" si="4"/>
        <v>1189640300</v>
      </c>
      <c r="EA12" s="447">
        <f t="shared" si="4"/>
        <v>2363074768</v>
      </c>
      <c r="EB12" s="447">
        <f t="shared" si="4"/>
        <v>24045576700</v>
      </c>
      <c r="EC12" s="447">
        <f t="shared" si="4"/>
        <v>30968438755</v>
      </c>
      <c r="ED12" s="447">
        <f t="shared" si="4"/>
        <v>571149398</v>
      </c>
      <c r="EE12" s="447">
        <f t="shared" si="4"/>
        <v>875389538</v>
      </c>
      <c r="EF12" s="447">
        <f t="shared" si="4"/>
        <v>0</v>
      </c>
      <c r="EG12" s="447">
        <f t="shared" si="4"/>
        <v>93698000</v>
      </c>
      <c r="EH12" s="447">
        <f t="shared" si="4"/>
        <v>2154826604</v>
      </c>
      <c r="EI12" s="447">
        <f t="shared" si="4"/>
        <v>3625895457</v>
      </c>
      <c r="EJ12" s="447">
        <f t="shared" si="4"/>
        <v>3109500000</v>
      </c>
      <c r="EK12" s="447">
        <f t="shared" si="4"/>
        <v>29977599304</v>
      </c>
      <c r="EL12" s="447">
        <f t="shared" si="4"/>
        <v>343235000</v>
      </c>
      <c r="EM12" s="447">
        <f t="shared" si="4"/>
        <v>423887180</v>
      </c>
      <c r="EN12" s="447">
        <f t="shared" si="4"/>
        <v>0</v>
      </c>
      <c r="EO12" s="447">
        <f t="shared" si="4"/>
        <v>60423424460</v>
      </c>
      <c r="EP12" s="447">
        <f t="shared" si="4"/>
        <v>57397373500</v>
      </c>
      <c r="EQ12" s="447">
        <f t="shared" si="4"/>
        <v>3026050960</v>
      </c>
      <c r="ER12" s="447">
        <f t="shared" si="4"/>
        <v>996658500</v>
      </c>
      <c r="ES12" s="447">
        <f t="shared" si="4"/>
        <v>596550000</v>
      </c>
      <c r="ET12" s="447">
        <f t="shared" si="4"/>
        <v>170000000</v>
      </c>
      <c r="EU12" s="447">
        <f t="shared" si="4"/>
        <v>378150000</v>
      </c>
      <c r="EV12" s="447">
        <f t="shared" si="4"/>
        <v>200000</v>
      </c>
      <c r="EW12" s="447">
        <f t="shared" si="4"/>
        <v>19287924000</v>
      </c>
      <c r="EX12" s="447">
        <f t="shared" si="4"/>
        <v>3202478000</v>
      </c>
      <c r="EY12" s="447">
        <f t="shared" si="4"/>
        <v>124140000</v>
      </c>
      <c r="EZ12" s="447">
        <f t="shared" si="4"/>
        <v>1233251000</v>
      </c>
      <c r="FA12" s="447">
        <f t="shared" si="4"/>
        <v>180000000</v>
      </c>
      <c r="FB12" s="447">
        <f t="shared" si="4"/>
        <v>72132502</v>
      </c>
      <c r="FC12" s="447">
        <f t="shared" si="4"/>
        <v>28249751</v>
      </c>
      <c r="FD12" s="447">
        <f t="shared" si="4"/>
        <v>2935807</v>
      </c>
      <c r="FE12" s="447">
        <f aca="true" t="shared" si="5" ref="FE12:GH12">FE15+FE18+FE21+FE24+FE27+FE30+FE33+FE36+FE39+FE42+FE45+FE48+FE51+FE54+FE57+FE60+FE69+FE63+FE66+FE72+FE75+FE81+FE84+FE87+FE90+FE93+FE96+FE99+FE78</f>
        <v>76000000</v>
      </c>
      <c r="FF12" s="447">
        <f t="shared" si="5"/>
        <v>95000000</v>
      </c>
      <c r="FG12" s="447">
        <f t="shared" si="5"/>
        <v>14988583000</v>
      </c>
      <c r="FH12" s="447">
        <f t="shared" si="5"/>
        <v>10817348000</v>
      </c>
      <c r="FI12" s="447">
        <f t="shared" si="5"/>
        <v>5929244000</v>
      </c>
      <c r="FJ12" s="447">
        <f t="shared" si="5"/>
        <v>251898000</v>
      </c>
      <c r="FK12" s="447">
        <f t="shared" si="5"/>
        <v>135000000</v>
      </c>
      <c r="FL12" s="447">
        <f t="shared" si="5"/>
        <v>322000000</v>
      </c>
      <c r="FM12" s="447">
        <f t="shared" si="5"/>
        <v>197000000</v>
      </c>
      <c r="FN12" s="447">
        <f t="shared" si="5"/>
        <v>200000</v>
      </c>
      <c r="FO12" s="447">
        <f t="shared" si="5"/>
        <v>196273200</v>
      </c>
      <c r="FP12" s="447">
        <f t="shared" si="5"/>
        <v>106000000</v>
      </c>
      <c r="FQ12" s="447">
        <f t="shared" si="5"/>
        <v>0</v>
      </c>
      <c r="FR12" s="447">
        <f t="shared" si="5"/>
        <v>995000</v>
      </c>
      <c r="FS12" s="447">
        <f t="shared" si="5"/>
        <v>1035213700</v>
      </c>
      <c r="FT12" s="447">
        <f t="shared" si="5"/>
        <v>11671846985</v>
      </c>
      <c r="FU12" s="447">
        <f t="shared" si="5"/>
        <v>2577442485</v>
      </c>
      <c r="FV12" s="447">
        <f t="shared" si="5"/>
        <v>9094404500</v>
      </c>
      <c r="FW12" s="447">
        <f t="shared" si="5"/>
        <v>2577442485</v>
      </c>
      <c r="FX12" s="447">
        <f t="shared" si="5"/>
        <v>0</v>
      </c>
      <c r="FY12" s="447">
        <f t="shared" si="5"/>
        <v>0</v>
      </c>
      <c r="FZ12" s="447">
        <f t="shared" si="5"/>
        <v>520000000</v>
      </c>
      <c r="GA12" s="447">
        <f t="shared" si="5"/>
        <v>3000000</v>
      </c>
      <c r="GB12" s="447">
        <f t="shared" si="5"/>
        <v>15000000</v>
      </c>
      <c r="GC12" s="447">
        <f t="shared" si="5"/>
        <v>50000000</v>
      </c>
      <c r="GD12" s="447">
        <f t="shared" si="5"/>
        <v>4579112500</v>
      </c>
      <c r="GE12" s="447">
        <f t="shared" si="5"/>
        <v>3377292000</v>
      </c>
      <c r="GF12" s="447">
        <f t="shared" si="5"/>
        <v>480000000</v>
      </c>
      <c r="GG12" s="447">
        <f t="shared" si="5"/>
        <v>70000000</v>
      </c>
      <c r="GH12" s="447">
        <f t="shared" si="5"/>
        <v>45187635202</v>
      </c>
      <c r="GI12" s="466" t="s">
        <v>29</v>
      </c>
      <c r="GJ12" s="448">
        <f>CS12/C12</f>
        <v>0.999352028809912</v>
      </c>
      <c r="GK12" s="448">
        <f>CT12/D12</f>
        <v>0.4814664745013568</v>
      </c>
      <c r="GL12" s="448">
        <f>CZ12/J12</f>
        <v>0.9496138715682646</v>
      </c>
      <c r="GM12" s="448">
        <f>EO12/AY12</f>
        <v>0.8799332147640566</v>
      </c>
      <c r="GN12" s="448">
        <f>FT12/CD12</f>
        <v>0.9182439411432706</v>
      </c>
    </row>
    <row r="13" spans="1:196" s="449" customFormat="1" ht="15" customHeight="1" hidden="1">
      <c r="A13" s="445"/>
      <c r="B13" s="450" t="s">
        <v>247</v>
      </c>
      <c r="C13" s="447">
        <f aca="true" t="shared" si="6" ref="C13:AH13">C16+C19+C22+C25+C28+C31+C34+C37+C40+C43+C46+C49+C52+C55+C58+C61+C70+C64+C67+C73+C76+C82+C85+C88+C97+C100+C79+C91+C94</f>
        <v>86629548059</v>
      </c>
      <c r="D13" s="570">
        <f t="shared" si="6"/>
        <v>17794341774</v>
      </c>
      <c r="E13" s="447">
        <f t="shared" si="6"/>
        <v>286468000</v>
      </c>
      <c r="F13" s="447">
        <f t="shared" si="6"/>
        <v>10095342000</v>
      </c>
      <c r="G13" s="447">
        <f t="shared" si="6"/>
        <v>468000000</v>
      </c>
      <c r="H13" s="447">
        <f t="shared" si="6"/>
        <v>3160000000</v>
      </c>
      <c r="I13" s="447">
        <f t="shared" si="6"/>
        <v>3784531774</v>
      </c>
      <c r="J13" s="447">
        <f t="shared" si="6"/>
        <v>0</v>
      </c>
      <c r="K13" s="447">
        <f t="shared" si="6"/>
        <v>0</v>
      </c>
      <c r="L13" s="447">
        <f t="shared" si="6"/>
        <v>0</v>
      </c>
      <c r="M13" s="447">
        <f t="shared" si="6"/>
        <v>0</v>
      </c>
      <c r="N13" s="447">
        <f t="shared" si="6"/>
        <v>0</v>
      </c>
      <c r="O13" s="447">
        <f t="shared" si="6"/>
        <v>0</v>
      </c>
      <c r="P13" s="447">
        <f t="shared" si="6"/>
        <v>0</v>
      </c>
      <c r="Q13" s="447">
        <f t="shared" si="6"/>
        <v>0</v>
      </c>
      <c r="R13" s="447">
        <f t="shared" si="6"/>
        <v>0</v>
      </c>
      <c r="S13" s="447">
        <f t="shared" si="6"/>
        <v>0</v>
      </c>
      <c r="T13" s="447">
        <f t="shared" si="6"/>
        <v>0</v>
      </c>
      <c r="U13" s="447">
        <f t="shared" si="6"/>
        <v>0</v>
      </c>
      <c r="V13" s="447">
        <f t="shared" si="6"/>
        <v>0</v>
      </c>
      <c r="W13" s="447">
        <f t="shared" si="6"/>
        <v>0</v>
      </c>
      <c r="X13" s="447">
        <f t="shared" si="6"/>
        <v>0</v>
      </c>
      <c r="Y13" s="447">
        <f t="shared" si="6"/>
        <v>0</v>
      </c>
      <c r="Z13" s="447">
        <f t="shared" si="6"/>
        <v>0</v>
      </c>
      <c r="AA13" s="447">
        <f t="shared" si="6"/>
        <v>0</v>
      </c>
      <c r="AB13" s="447">
        <f t="shared" si="6"/>
        <v>0</v>
      </c>
      <c r="AC13" s="447">
        <f t="shared" si="6"/>
        <v>0</v>
      </c>
      <c r="AD13" s="447">
        <f t="shared" si="6"/>
        <v>0</v>
      </c>
      <c r="AE13" s="447">
        <f t="shared" si="6"/>
        <v>0</v>
      </c>
      <c r="AF13" s="447">
        <f t="shared" si="6"/>
        <v>0</v>
      </c>
      <c r="AG13" s="447">
        <f t="shared" si="6"/>
        <v>0</v>
      </c>
      <c r="AH13" s="447">
        <f t="shared" si="6"/>
        <v>0</v>
      </c>
      <c r="AI13" s="447">
        <f aca="true" t="shared" si="7" ref="AI13:BN13">AI16+AI19+AI22+AI25+AI28+AI31+AI34+AI37+AI40+AI43+AI46+AI49+AI52+AI55+AI58+AI61+AI70+AI64+AI67+AI73+AI76+AI82+AI85+AI88+AI97+AI100+AI79+AI91+AI94</f>
        <v>0</v>
      </c>
      <c r="AJ13" s="447">
        <f t="shared" si="7"/>
        <v>0</v>
      </c>
      <c r="AK13" s="447">
        <f t="shared" si="7"/>
        <v>0</v>
      </c>
      <c r="AL13" s="447">
        <f t="shared" si="7"/>
        <v>0</v>
      </c>
      <c r="AM13" s="447">
        <f t="shared" si="7"/>
        <v>0</v>
      </c>
      <c r="AN13" s="447">
        <f t="shared" si="7"/>
        <v>0</v>
      </c>
      <c r="AO13" s="447">
        <f t="shared" si="7"/>
        <v>0</v>
      </c>
      <c r="AP13" s="447">
        <f t="shared" si="7"/>
        <v>0</v>
      </c>
      <c r="AQ13" s="447">
        <f t="shared" si="7"/>
        <v>0</v>
      </c>
      <c r="AR13" s="447">
        <f t="shared" si="7"/>
        <v>0</v>
      </c>
      <c r="AS13" s="447">
        <f t="shared" si="7"/>
        <v>0</v>
      </c>
      <c r="AT13" s="447">
        <f t="shared" si="7"/>
        <v>0</v>
      </c>
      <c r="AU13" s="447">
        <f t="shared" si="7"/>
        <v>0</v>
      </c>
      <c r="AV13" s="447">
        <f t="shared" si="7"/>
        <v>0</v>
      </c>
      <c r="AW13" s="447">
        <f t="shared" si="7"/>
        <v>0</v>
      </c>
      <c r="AX13" s="447">
        <f t="shared" si="7"/>
        <v>0</v>
      </c>
      <c r="AY13" s="447">
        <f t="shared" si="7"/>
        <v>65597587800</v>
      </c>
      <c r="AZ13" s="447">
        <f t="shared" si="7"/>
        <v>65597587800</v>
      </c>
      <c r="BA13" s="447">
        <f t="shared" si="7"/>
        <v>0</v>
      </c>
      <c r="BB13" s="447">
        <f t="shared" si="7"/>
        <v>1212072000</v>
      </c>
      <c r="BC13" s="447">
        <f t="shared" si="7"/>
        <v>601506000</v>
      </c>
      <c r="BD13" s="447">
        <f t="shared" si="7"/>
        <v>170000000</v>
      </c>
      <c r="BE13" s="447">
        <f t="shared" si="7"/>
        <v>405000000</v>
      </c>
      <c r="BF13" s="447">
        <f t="shared" si="7"/>
        <v>200000</v>
      </c>
      <c r="BG13" s="447">
        <f t="shared" si="7"/>
        <v>22129945000</v>
      </c>
      <c r="BH13" s="447">
        <f t="shared" si="7"/>
        <v>3516024000</v>
      </c>
      <c r="BI13" s="447">
        <f t="shared" si="7"/>
        <v>124140000</v>
      </c>
      <c r="BJ13" s="447">
        <f t="shared" si="7"/>
        <v>0</v>
      </c>
      <c r="BK13" s="447">
        <f t="shared" si="7"/>
        <v>0</v>
      </c>
      <c r="BL13" s="447">
        <f t="shared" si="7"/>
        <v>0</v>
      </c>
      <c r="BM13" s="447">
        <f t="shared" si="7"/>
        <v>0</v>
      </c>
      <c r="BN13" s="447">
        <f t="shared" si="7"/>
        <v>0</v>
      </c>
      <c r="BO13" s="447">
        <f aca="true" t="shared" si="8" ref="BO13:CQ13">BO16+BO19+BO22+BO25+BO28+BO31+BO34+BO37+BO40+BO43+BO46+BO49+BO52+BO55+BO58+BO61+BO70+BO64+BO67+BO73+BO76+BO82+BO85+BO88+BO97+BO100+BO79+BO91+BO94</f>
        <v>0</v>
      </c>
      <c r="BP13" s="447">
        <f t="shared" si="8"/>
        <v>0</v>
      </c>
      <c r="BQ13" s="447">
        <f t="shared" si="8"/>
        <v>16323188000</v>
      </c>
      <c r="BR13" s="447">
        <f t="shared" si="8"/>
        <v>13155886800</v>
      </c>
      <c r="BS13" s="447">
        <f t="shared" si="8"/>
        <v>6243528000</v>
      </c>
      <c r="BT13" s="447">
        <f t="shared" si="8"/>
        <v>251898000</v>
      </c>
      <c r="BU13" s="447">
        <f t="shared" si="8"/>
        <v>135000000</v>
      </c>
      <c r="BV13" s="447">
        <f t="shared" si="8"/>
        <v>322000000</v>
      </c>
      <c r="BW13" s="447">
        <f t="shared" si="8"/>
        <v>1007000000</v>
      </c>
      <c r="BX13" s="447">
        <f t="shared" si="8"/>
        <v>200000</v>
      </c>
      <c r="BY13" s="447">
        <f t="shared" si="8"/>
        <v>0</v>
      </c>
      <c r="BZ13" s="447">
        <f t="shared" si="8"/>
        <v>0</v>
      </c>
      <c r="CA13" s="447">
        <f t="shared" si="8"/>
        <v>0</v>
      </c>
      <c r="CB13" s="447">
        <f t="shared" si="8"/>
        <v>0</v>
      </c>
      <c r="CC13" s="447">
        <f t="shared" si="8"/>
        <v>0</v>
      </c>
      <c r="CD13" s="447">
        <f t="shared" si="8"/>
        <v>3237618485</v>
      </c>
      <c r="CE13" s="447">
        <f t="shared" si="8"/>
        <v>3237618485</v>
      </c>
      <c r="CF13" s="447">
        <f t="shared" si="8"/>
        <v>0</v>
      </c>
      <c r="CG13" s="447">
        <f t="shared" si="8"/>
        <v>2577577485</v>
      </c>
      <c r="CH13" s="447">
        <f t="shared" si="8"/>
        <v>41000</v>
      </c>
      <c r="CI13" s="447">
        <f t="shared" si="8"/>
        <v>660000000</v>
      </c>
      <c r="CJ13" s="447">
        <f t="shared" si="8"/>
        <v>0</v>
      </c>
      <c r="CK13" s="447">
        <f t="shared" si="8"/>
        <v>0</v>
      </c>
      <c r="CL13" s="447">
        <f t="shared" si="8"/>
        <v>0</v>
      </c>
      <c r="CM13" s="447">
        <f t="shared" si="8"/>
        <v>0</v>
      </c>
      <c r="CN13" s="447">
        <f t="shared" si="8"/>
        <v>0</v>
      </c>
      <c r="CO13" s="447">
        <f t="shared" si="8"/>
        <v>0</v>
      </c>
      <c r="CP13" s="447">
        <f t="shared" si="8"/>
        <v>0</v>
      </c>
      <c r="CQ13" s="447">
        <f t="shared" si="8"/>
        <v>0</v>
      </c>
      <c r="CR13" s="467" t="s">
        <v>247</v>
      </c>
      <c r="CS13" s="447">
        <f aca="true" t="shared" si="9" ref="CS13:DX13">CS16+CS19+CS22+CS25+CS28+CS31+CS34+CS37+CS40+CS43+CS46+CS49+CS52+CS55+CS58+CS61+CS70+CS64+CS67+CS73+CS76+CS82+CS85+CS88+CS97+CS100+CS79+CS91+CS94</f>
        <v>86602949259</v>
      </c>
      <c r="CT13" s="447">
        <f t="shared" si="9"/>
        <v>8567379000</v>
      </c>
      <c r="CU13" s="447">
        <f t="shared" si="9"/>
        <v>23750000</v>
      </c>
      <c r="CV13" s="447">
        <f t="shared" si="9"/>
        <v>6354672000</v>
      </c>
      <c r="CW13" s="447">
        <f t="shared" si="9"/>
        <v>467057000</v>
      </c>
      <c r="CX13" s="447">
        <f t="shared" si="9"/>
        <v>1721900000</v>
      </c>
      <c r="CY13" s="447">
        <f t="shared" si="9"/>
        <v>0</v>
      </c>
      <c r="CZ13" s="447">
        <f t="shared" si="9"/>
        <v>0</v>
      </c>
      <c r="DA13" s="447">
        <f t="shared" si="9"/>
        <v>0</v>
      </c>
      <c r="DB13" s="447">
        <f t="shared" si="9"/>
        <v>0</v>
      </c>
      <c r="DC13" s="447">
        <f t="shared" si="9"/>
        <v>0</v>
      </c>
      <c r="DD13" s="447">
        <f t="shared" si="9"/>
        <v>0</v>
      </c>
      <c r="DE13" s="447">
        <f t="shared" si="9"/>
        <v>0</v>
      </c>
      <c r="DF13" s="447">
        <f t="shared" si="9"/>
        <v>0</v>
      </c>
      <c r="DG13" s="447">
        <f t="shared" si="9"/>
        <v>0</v>
      </c>
      <c r="DH13" s="447">
        <f t="shared" si="9"/>
        <v>0</v>
      </c>
      <c r="DI13" s="447">
        <f t="shared" si="9"/>
        <v>0</v>
      </c>
      <c r="DJ13" s="447">
        <f t="shared" si="9"/>
        <v>0</v>
      </c>
      <c r="DK13" s="447">
        <f t="shared" si="9"/>
        <v>0</v>
      </c>
      <c r="DL13" s="447">
        <f t="shared" si="9"/>
        <v>0</v>
      </c>
      <c r="DM13" s="447">
        <f t="shared" si="9"/>
        <v>0</v>
      </c>
      <c r="DN13" s="447">
        <f t="shared" si="9"/>
        <v>0</v>
      </c>
      <c r="DO13" s="447">
        <f t="shared" si="9"/>
        <v>0</v>
      </c>
      <c r="DP13" s="447">
        <f t="shared" si="9"/>
        <v>0</v>
      </c>
      <c r="DQ13" s="447">
        <f t="shared" si="9"/>
        <v>0</v>
      </c>
      <c r="DR13" s="447">
        <f t="shared" si="9"/>
        <v>0</v>
      </c>
      <c r="DS13" s="447">
        <f t="shared" si="9"/>
        <v>0</v>
      </c>
      <c r="DT13" s="447">
        <f t="shared" si="9"/>
        <v>0</v>
      </c>
      <c r="DU13" s="447">
        <f t="shared" si="9"/>
        <v>0</v>
      </c>
      <c r="DV13" s="447">
        <f t="shared" si="9"/>
        <v>0</v>
      </c>
      <c r="DW13" s="447">
        <f t="shared" si="9"/>
        <v>0</v>
      </c>
      <c r="DX13" s="447">
        <f t="shared" si="9"/>
        <v>0</v>
      </c>
      <c r="DY13" s="447">
        <f aca="true" t="shared" si="10" ref="DY13:FD13">DY16+DY19+DY22+DY25+DY28+DY31+DY34+DY37+DY40+DY43+DY46+DY49+DY52+DY55+DY58+DY61+DY70+DY64+DY67+DY73+DY76+DY82+DY85+DY88+DY97+DY100+DY79+DY91+DY94</f>
        <v>0</v>
      </c>
      <c r="DZ13" s="447">
        <f t="shared" si="10"/>
        <v>0</v>
      </c>
      <c r="EA13" s="447">
        <f t="shared" si="10"/>
        <v>0</v>
      </c>
      <c r="EB13" s="447">
        <f t="shared" si="10"/>
        <v>0</v>
      </c>
      <c r="EC13" s="447">
        <f t="shared" si="10"/>
        <v>0</v>
      </c>
      <c r="ED13" s="447">
        <f t="shared" si="10"/>
        <v>0</v>
      </c>
      <c r="EE13" s="447">
        <f t="shared" si="10"/>
        <v>0</v>
      </c>
      <c r="EF13" s="447">
        <f t="shared" si="10"/>
        <v>0</v>
      </c>
      <c r="EG13" s="447">
        <f t="shared" si="10"/>
        <v>0</v>
      </c>
      <c r="EH13" s="447">
        <f t="shared" si="10"/>
        <v>0</v>
      </c>
      <c r="EI13" s="447">
        <f t="shared" si="10"/>
        <v>0</v>
      </c>
      <c r="EJ13" s="447">
        <f t="shared" si="10"/>
        <v>0</v>
      </c>
      <c r="EK13" s="447">
        <f t="shared" si="10"/>
        <v>0</v>
      </c>
      <c r="EL13" s="447">
        <f t="shared" si="10"/>
        <v>0</v>
      </c>
      <c r="EM13" s="447">
        <f t="shared" si="10"/>
        <v>0</v>
      </c>
      <c r="EN13" s="447">
        <f t="shared" si="10"/>
        <v>0</v>
      </c>
      <c r="EO13" s="447">
        <f t="shared" si="10"/>
        <v>57397373500</v>
      </c>
      <c r="EP13" s="447">
        <f t="shared" si="10"/>
        <v>57397373500</v>
      </c>
      <c r="EQ13" s="447">
        <f t="shared" si="10"/>
        <v>0</v>
      </c>
      <c r="ER13" s="447">
        <f t="shared" si="10"/>
        <v>996658500</v>
      </c>
      <c r="ES13" s="447">
        <f t="shared" si="10"/>
        <v>596550000</v>
      </c>
      <c r="ET13" s="447">
        <f t="shared" si="10"/>
        <v>170000000</v>
      </c>
      <c r="EU13" s="447">
        <f t="shared" si="10"/>
        <v>378150000</v>
      </c>
      <c r="EV13" s="447">
        <f t="shared" si="10"/>
        <v>200000</v>
      </c>
      <c r="EW13" s="447">
        <f t="shared" si="10"/>
        <v>19287924000</v>
      </c>
      <c r="EX13" s="447">
        <f t="shared" si="10"/>
        <v>3202478000</v>
      </c>
      <c r="EY13" s="447">
        <f t="shared" si="10"/>
        <v>124140000</v>
      </c>
      <c r="EZ13" s="447">
        <f t="shared" si="10"/>
        <v>0</v>
      </c>
      <c r="FA13" s="447">
        <f t="shared" si="10"/>
        <v>0</v>
      </c>
      <c r="FB13" s="447">
        <f t="shared" si="10"/>
        <v>0</v>
      </c>
      <c r="FC13" s="447">
        <f t="shared" si="10"/>
        <v>0</v>
      </c>
      <c r="FD13" s="447">
        <f t="shared" si="10"/>
        <v>0</v>
      </c>
      <c r="FE13" s="447">
        <f aca="true" t="shared" si="11" ref="FE13:GH13">FE16+FE19+FE22+FE25+FE28+FE31+FE34+FE37+FE40+FE43+FE46+FE49+FE52+FE55+FE58+FE61+FE70+FE64+FE67+FE73+FE76+FE82+FE85+FE88+FE97+FE100+FE79+FE91+FE94</f>
        <v>0</v>
      </c>
      <c r="FF13" s="447">
        <f t="shared" si="11"/>
        <v>0</v>
      </c>
      <c r="FG13" s="447">
        <f t="shared" si="11"/>
        <v>14988583000</v>
      </c>
      <c r="FH13" s="447">
        <f t="shared" si="11"/>
        <v>10817348000</v>
      </c>
      <c r="FI13" s="447">
        <f t="shared" si="11"/>
        <v>5929244000</v>
      </c>
      <c r="FJ13" s="447">
        <f t="shared" si="11"/>
        <v>251898000</v>
      </c>
      <c r="FK13" s="447">
        <f t="shared" si="11"/>
        <v>135000000</v>
      </c>
      <c r="FL13" s="447">
        <f t="shared" si="11"/>
        <v>322000000</v>
      </c>
      <c r="FM13" s="447">
        <f t="shared" si="11"/>
        <v>197000000</v>
      </c>
      <c r="FN13" s="447">
        <f t="shared" si="11"/>
        <v>200000</v>
      </c>
      <c r="FO13" s="447">
        <f t="shared" si="11"/>
        <v>0</v>
      </c>
      <c r="FP13" s="447">
        <f t="shared" si="11"/>
        <v>0</v>
      </c>
      <c r="FQ13" s="447">
        <f t="shared" si="11"/>
        <v>0</v>
      </c>
      <c r="FR13" s="447">
        <f t="shared" si="11"/>
        <v>0</v>
      </c>
      <c r="FS13" s="447">
        <f t="shared" si="11"/>
        <v>0</v>
      </c>
      <c r="FT13" s="447">
        <f t="shared" si="11"/>
        <v>2577442485</v>
      </c>
      <c r="FU13" s="447">
        <f t="shared" si="11"/>
        <v>2577442485</v>
      </c>
      <c r="FV13" s="447">
        <f t="shared" si="11"/>
        <v>0</v>
      </c>
      <c r="FW13" s="447">
        <f t="shared" si="11"/>
        <v>2577442485</v>
      </c>
      <c r="FX13" s="447">
        <f t="shared" si="11"/>
        <v>0</v>
      </c>
      <c r="FY13" s="447">
        <f t="shared" si="11"/>
        <v>0</v>
      </c>
      <c r="FZ13" s="447">
        <f t="shared" si="11"/>
        <v>0</v>
      </c>
      <c r="GA13" s="447">
        <f t="shared" si="11"/>
        <v>0</v>
      </c>
      <c r="GB13" s="447">
        <f t="shared" si="11"/>
        <v>0</v>
      </c>
      <c r="GC13" s="447">
        <f t="shared" si="11"/>
        <v>0</v>
      </c>
      <c r="GD13" s="447">
        <f t="shared" si="11"/>
        <v>0</v>
      </c>
      <c r="GE13" s="447">
        <f t="shared" si="11"/>
        <v>0</v>
      </c>
      <c r="GF13" s="447">
        <f t="shared" si="11"/>
        <v>0</v>
      </c>
      <c r="GG13" s="447">
        <f t="shared" si="11"/>
        <v>0</v>
      </c>
      <c r="GH13" s="447">
        <f t="shared" si="11"/>
        <v>18060754274</v>
      </c>
      <c r="GI13" s="467" t="s">
        <v>247</v>
      </c>
      <c r="GJ13" s="451">
        <f>CS13/C13</f>
        <v>0.9996929592662553</v>
      </c>
      <c r="GK13" s="451">
        <f>CT13/D13</f>
        <v>0.4814664745013568</v>
      </c>
      <c r="GL13" s="451"/>
      <c r="GM13" s="451">
        <f>EO13/AY13</f>
        <v>0.8749921365248738</v>
      </c>
      <c r="GN13" s="451">
        <f>FT13/CD13</f>
        <v>0.7960920957615548</v>
      </c>
    </row>
    <row r="14" spans="1:196" s="449" customFormat="1" ht="15" customHeight="1" hidden="1">
      <c r="A14" s="445"/>
      <c r="B14" s="450" t="s">
        <v>248</v>
      </c>
      <c r="C14" s="447">
        <f aca="true" t="shared" si="12" ref="C14:AH14">C17+C20+C23+C26+C29+C32+C35+C38+C41+C44+C47+C50+C53+C56+C59+C62+C71+C65+C68+C74+C77+C83+C86+C89+C98+C101+C80+C92+C95</f>
        <v>550178739581</v>
      </c>
      <c r="D14" s="447">
        <f t="shared" si="12"/>
        <v>0</v>
      </c>
      <c r="E14" s="447">
        <f t="shared" si="12"/>
        <v>0</v>
      </c>
      <c r="F14" s="447">
        <f t="shared" si="12"/>
        <v>0</v>
      </c>
      <c r="G14" s="447">
        <f t="shared" si="12"/>
        <v>0</v>
      </c>
      <c r="H14" s="447">
        <f t="shared" si="12"/>
        <v>0</v>
      </c>
      <c r="I14" s="447">
        <f t="shared" si="12"/>
        <v>0</v>
      </c>
      <c r="J14" s="447">
        <f t="shared" si="12"/>
        <v>537634699592</v>
      </c>
      <c r="K14" s="447">
        <f t="shared" si="12"/>
        <v>4565000000</v>
      </c>
      <c r="L14" s="447">
        <f t="shared" si="12"/>
        <v>2393780000</v>
      </c>
      <c r="M14" s="447">
        <f t="shared" si="12"/>
        <v>310979478813</v>
      </c>
      <c r="N14" s="447">
        <f t="shared" si="12"/>
        <v>16143000000</v>
      </c>
      <c r="O14" s="447">
        <f t="shared" si="12"/>
        <v>19396000000</v>
      </c>
      <c r="P14" s="447">
        <f t="shared" si="12"/>
        <v>4599472000</v>
      </c>
      <c r="Q14" s="447">
        <f t="shared" si="12"/>
        <v>6846680000</v>
      </c>
      <c r="R14" s="447">
        <f t="shared" si="12"/>
        <v>607098100</v>
      </c>
      <c r="S14" s="447">
        <f t="shared" si="12"/>
        <v>35000000</v>
      </c>
      <c r="T14" s="447">
        <f t="shared" si="12"/>
        <v>4141500000</v>
      </c>
      <c r="U14" s="447">
        <f t="shared" si="12"/>
        <v>200000000</v>
      </c>
      <c r="V14" s="447">
        <f t="shared" si="12"/>
        <v>100000000</v>
      </c>
      <c r="W14" s="447">
        <f t="shared" si="12"/>
        <v>1257000000</v>
      </c>
      <c r="X14" s="447">
        <f t="shared" si="12"/>
        <v>505870359</v>
      </c>
      <c r="Y14" s="447">
        <f t="shared" si="12"/>
        <v>2706000000</v>
      </c>
      <c r="Z14" s="447">
        <f t="shared" si="12"/>
        <v>2401000000</v>
      </c>
      <c r="AA14" s="447">
        <f t="shared" si="12"/>
        <v>1312646000</v>
      </c>
      <c r="AB14" s="447">
        <f t="shared" si="12"/>
        <v>7832143000</v>
      </c>
      <c r="AC14" s="447">
        <f t="shared" si="12"/>
        <v>232300000</v>
      </c>
      <c r="AD14" s="447">
        <f t="shared" si="12"/>
        <v>13295000000</v>
      </c>
      <c r="AE14" s="447">
        <f t="shared" si="12"/>
        <v>2697990897</v>
      </c>
      <c r="AF14" s="447">
        <f t="shared" si="12"/>
        <v>5828150923</v>
      </c>
      <c r="AG14" s="447">
        <f t="shared" si="12"/>
        <v>50518919</v>
      </c>
      <c r="AH14" s="447">
        <f t="shared" si="12"/>
        <v>2005002786</v>
      </c>
      <c r="AI14" s="447">
        <f aca="true" t="shared" si="13" ref="AI14:BN14">AI17+AI20+AI23+AI26+AI29+AI32+AI35+AI38+AI41+AI44+AI47+AI50+AI53+AI56+AI59+AI62+AI71+AI65+AI68+AI74+AI77+AI83+AI86+AI89+AI98+AI101+AI80+AI92+AI95</f>
        <v>5451274577</v>
      </c>
      <c r="AJ14" s="447">
        <f t="shared" si="13"/>
        <v>1347385100</v>
      </c>
      <c r="AK14" s="447">
        <f t="shared" si="13"/>
        <v>4353814853</v>
      </c>
      <c r="AL14" s="447">
        <f t="shared" si="13"/>
        <v>25349054070</v>
      </c>
      <c r="AM14" s="447">
        <f t="shared" si="13"/>
        <v>33231041945</v>
      </c>
      <c r="AN14" s="447">
        <f t="shared" si="13"/>
        <v>571249398</v>
      </c>
      <c r="AO14" s="447">
        <f t="shared" si="13"/>
        <v>973600000</v>
      </c>
      <c r="AP14" s="447">
        <f t="shared" si="13"/>
        <v>650000000</v>
      </c>
      <c r="AQ14" s="447">
        <f t="shared" si="13"/>
        <v>439059083</v>
      </c>
      <c r="AR14" s="447">
        <f t="shared" si="13"/>
        <v>2165041607</v>
      </c>
      <c r="AS14" s="447">
        <f t="shared" si="13"/>
        <v>10184080847</v>
      </c>
      <c r="AT14" s="447">
        <f t="shared" si="13"/>
        <v>3109500000</v>
      </c>
      <c r="AU14" s="447">
        <f t="shared" si="13"/>
        <v>30369989663</v>
      </c>
      <c r="AV14" s="447">
        <f t="shared" si="13"/>
        <v>343920000</v>
      </c>
      <c r="AW14" s="447">
        <f t="shared" si="13"/>
        <v>423887180</v>
      </c>
      <c r="AX14" s="447">
        <f t="shared" si="13"/>
        <v>8541169472</v>
      </c>
      <c r="AY14" s="447">
        <f t="shared" si="13"/>
        <v>3070605929</v>
      </c>
      <c r="AZ14" s="447">
        <f t="shared" si="13"/>
        <v>0</v>
      </c>
      <c r="BA14" s="447">
        <f t="shared" si="13"/>
        <v>3070605929</v>
      </c>
      <c r="BB14" s="447">
        <f t="shared" si="13"/>
        <v>0</v>
      </c>
      <c r="BC14" s="447">
        <f t="shared" si="13"/>
        <v>0</v>
      </c>
      <c r="BD14" s="447">
        <f t="shared" si="13"/>
        <v>0</v>
      </c>
      <c r="BE14" s="447">
        <f t="shared" si="13"/>
        <v>0</v>
      </c>
      <c r="BF14" s="447">
        <f t="shared" si="13"/>
        <v>0</v>
      </c>
      <c r="BG14" s="447">
        <f t="shared" si="13"/>
        <v>0</v>
      </c>
      <c r="BH14" s="447">
        <f t="shared" si="13"/>
        <v>0</v>
      </c>
      <c r="BI14" s="447">
        <f t="shared" si="13"/>
        <v>0</v>
      </c>
      <c r="BJ14" s="447">
        <f t="shared" si="13"/>
        <v>1233288000</v>
      </c>
      <c r="BK14" s="447">
        <f t="shared" si="13"/>
        <v>180000000</v>
      </c>
      <c r="BL14" s="447">
        <f t="shared" si="13"/>
        <v>77852502</v>
      </c>
      <c r="BM14" s="447">
        <f t="shared" si="13"/>
        <v>28249751</v>
      </c>
      <c r="BN14" s="447">
        <f t="shared" si="13"/>
        <v>2935807</v>
      </c>
      <c r="BO14" s="447">
        <f aca="true" t="shared" si="14" ref="BO14:CQ14">BO17+BO20+BO23+BO26+BO29+BO32+BO35+BO38+BO41+BO44+BO47+BO50+BO53+BO56+BO59+BO62+BO71+BO65+BO68+BO74+BO77+BO83+BO86+BO89+BO98+BO101+BO80+BO92+BO95</f>
        <v>76000000</v>
      </c>
      <c r="BP14" s="447">
        <f t="shared" si="14"/>
        <v>95000000</v>
      </c>
      <c r="BQ14" s="447">
        <f t="shared" si="14"/>
        <v>0</v>
      </c>
      <c r="BR14" s="447">
        <f t="shared" si="14"/>
        <v>0</v>
      </c>
      <c r="BS14" s="447">
        <f t="shared" si="14"/>
        <v>0</v>
      </c>
      <c r="BT14" s="447">
        <f t="shared" si="14"/>
        <v>0</v>
      </c>
      <c r="BU14" s="447">
        <f t="shared" si="14"/>
        <v>0</v>
      </c>
      <c r="BV14" s="447">
        <f t="shared" si="14"/>
        <v>0</v>
      </c>
      <c r="BW14" s="447">
        <f t="shared" si="14"/>
        <v>0</v>
      </c>
      <c r="BX14" s="447">
        <f t="shared" si="14"/>
        <v>0</v>
      </c>
      <c r="BY14" s="447">
        <f t="shared" si="14"/>
        <v>197455700</v>
      </c>
      <c r="BZ14" s="447">
        <f t="shared" si="14"/>
        <v>113000000</v>
      </c>
      <c r="CA14" s="447">
        <f t="shared" si="14"/>
        <v>1920069</v>
      </c>
      <c r="CB14" s="447">
        <f t="shared" si="14"/>
        <v>995000</v>
      </c>
      <c r="CC14" s="447">
        <f t="shared" si="14"/>
        <v>1063909100</v>
      </c>
      <c r="CD14" s="447">
        <f t="shared" si="14"/>
        <v>9473434060</v>
      </c>
      <c r="CE14" s="447">
        <f t="shared" si="14"/>
        <v>0</v>
      </c>
      <c r="CF14" s="447">
        <f t="shared" si="14"/>
        <v>9473434060</v>
      </c>
      <c r="CG14" s="447">
        <f t="shared" si="14"/>
        <v>0</v>
      </c>
      <c r="CH14" s="447">
        <f t="shared" si="14"/>
        <v>0</v>
      </c>
      <c r="CI14" s="447">
        <f t="shared" si="14"/>
        <v>0</v>
      </c>
      <c r="CJ14" s="447">
        <f t="shared" si="14"/>
        <v>710000000</v>
      </c>
      <c r="CK14" s="447">
        <f t="shared" si="14"/>
        <v>108000000</v>
      </c>
      <c r="CL14" s="447">
        <f t="shared" si="14"/>
        <v>15000000</v>
      </c>
      <c r="CM14" s="447">
        <f t="shared" si="14"/>
        <v>50000000</v>
      </c>
      <c r="CN14" s="447">
        <f t="shared" si="14"/>
        <v>4663142060</v>
      </c>
      <c r="CO14" s="447">
        <f t="shared" si="14"/>
        <v>3377292000</v>
      </c>
      <c r="CP14" s="447">
        <f t="shared" si="14"/>
        <v>480000000</v>
      </c>
      <c r="CQ14" s="447">
        <f t="shared" si="14"/>
        <v>70000000</v>
      </c>
      <c r="CR14" s="467" t="s">
        <v>248</v>
      </c>
      <c r="CS14" s="447">
        <f aca="true" t="shared" si="15" ref="CS14:DX14">CS17+CS20+CS23+CS26+CS29+CS32+CS35+CS38+CS41+CS44+CS47+CS50+CS53+CS56+CS59+CS62+CS71+CS65+CS68+CS74+CS77+CS83+CS86+CS89+CS98+CS101+CS80+CS92+CS95</f>
        <v>549792704957</v>
      </c>
      <c r="CT14" s="447">
        <f t="shared" si="15"/>
        <v>0</v>
      </c>
      <c r="CU14" s="447">
        <f t="shared" si="15"/>
        <v>0</v>
      </c>
      <c r="CV14" s="447">
        <f t="shared" si="15"/>
        <v>0</v>
      </c>
      <c r="CW14" s="447">
        <f t="shared" si="15"/>
        <v>0</v>
      </c>
      <c r="CX14" s="447">
        <f t="shared" si="15"/>
        <v>0</v>
      </c>
      <c r="CY14" s="447">
        <f t="shared" si="15"/>
        <v>0</v>
      </c>
      <c r="CZ14" s="447">
        <f t="shared" si="15"/>
        <v>510545368569</v>
      </c>
      <c r="DA14" s="447">
        <f t="shared" si="15"/>
        <v>4549905000</v>
      </c>
      <c r="DB14" s="447">
        <f t="shared" si="15"/>
        <v>2393780000</v>
      </c>
      <c r="DC14" s="447">
        <f t="shared" si="15"/>
        <v>310778819813</v>
      </c>
      <c r="DD14" s="447">
        <f t="shared" si="15"/>
        <v>15596544500</v>
      </c>
      <c r="DE14" s="447">
        <f t="shared" si="15"/>
        <v>19396000000</v>
      </c>
      <c r="DF14" s="447">
        <f t="shared" si="15"/>
        <v>4566320000</v>
      </c>
      <c r="DG14" s="447">
        <f t="shared" si="15"/>
        <v>6829922000</v>
      </c>
      <c r="DH14" s="447">
        <f t="shared" si="15"/>
        <v>321821600</v>
      </c>
      <c r="DI14" s="447">
        <f t="shared" si="15"/>
        <v>10472000</v>
      </c>
      <c r="DJ14" s="447">
        <f t="shared" si="15"/>
        <v>3754504486</v>
      </c>
      <c r="DK14" s="447">
        <f t="shared" si="15"/>
        <v>200000000</v>
      </c>
      <c r="DL14" s="447">
        <f t="shared" si="15"/>
        <v>100000000</v>
      </c>
      <c r="DM14" s="447">
        <f t="shared" si="15"/>
        <v>1209881240</v>
      </c>
      <c r="DN14" s="447">
        <f t="shared" si="15"/>
        <v>492763031</v>
      </c>
      <c r="DO14" s="447">
        <f t="shared" si="15"/>
        <v>2668001000</v>
      </c>
      <c r="DP14" s="447">
        <f t="shared" si="15"/>
        <v>2400975000</v>
      </c>
      <c r="DQ14" s="447">
        <f t="shared" si="15"/>
        <v>1309351000</v>
      </c>
      <c r="DR14" s="447">
        <f t="shared" si="15"/>
        <v>7255234000</v>
      </c>
      <c r="DS14" s="447">
        <f t="shared" si="15"/>
        <v>183900000</v>
      </c>
      <c r="DT14" s="447">
        <f t="shared" si="15"/>
        <v>13295000000</v>
      </c>
      <c r="DU14" s="447">
        <f t="shared" si="15"/>
        <v>2518786861</v>
      </c>
      <c r="DV14" s="447">
        <f t="shared" si="15"/>
        <v>3850843258</v>
      </c>
      <c r="DW14" s="447">
        <f t="shared" si="15"/>
        <v>50518919</v>
      </c>
      <c r="DX14" s="447">
        <f t="shared" si="15"/>
        <v>1861855850</v>
      </c>
      <c r="DY14" s="447">
        <f aca="true" t="shared" si="16" ref="DY14:FD14">DY17+DY20+DY23+DY26+DY29+DY32+DY35+DY38+DY41+DY44+DY47+DY50+DY53+DY56+DY59+DY62+DY71+DY65+DY68+DY74+DY77+DY83+DY86+DY89+DY98+DY101+DY80+DY92+DY95</f>
        <v>5208258007</v>
      </c>
      <c r="DZ14" s="447">
        <f t="shared" si="16"/>
        <v>1189640300</v>
      </c>
      <c r="EA14" s="447">
        <f t="shared" si="16"/>
        <v>2363074768</v>
      </c>
      <c r="EB14" s="447">
        <f t="shared" si="16"/>
        <v>24045576700</v>
      </c>
      <c r="EC14" s="447">
        <f t="shared" si="16"/>
        <v>30968438755</v>
      </c>
      <c r="ED14" s="447">
        <f t="shared" si="16"/>
        <v>571149398</v>
      </c>
      <c r="EE14" s="447">
        <f t="shared" si="16"/>
        <v>875389538</v>
      </c>
      <c r="EF14" s="447">
        <f t="shared" si="16"/>
        <v>0</v>
      </c>
      <c r="EG14" s="447">
        <f t="shared" si="16"/>
        <v>93698000</v>
      </c>
      <c r="EH14" s="447">
        <f t="shared" si="16"/>
        <v>2154826604</v>
      </c>
      <c r="EI14" s="447">
        <f t="shared" si="16"/>
        <v>3625895457</v>
      </c>
      <c r="EJ14" s="447">
        <f t="shared" si="16"/>
        <v>3109500000</v>
      </c>
      <c r="EK14" s="447">
        <f t="shared" si="16"/>
        <v>29977599304</v>
      </c>
      <c r="EL14" s="447">
        <f t="shared" si="16"/>
        <v>343235000</v>
      </c>
      <c r="EM14" s="447">
        <f t="shared" si="16"/>
        <v>423887180</v>
      </c>
      <c r="EN14" s="447">
        <f t="shared" si="16"/>
        <v>0</v>
      </c>
      <c r="EO14" s="447">
        <f t="shared" si="16"/>
        <v>3026050960</v>
      </c>
      <c r="EP14" s="447">
        <f t="shared" si="16"/>
        <v>0</v>
      </c>
      <c r="EQ14" s="447">
        <f t="shared" si="16"/>
        <v>3026050960</v>
      </c>
      <c r="ER14" s="447">
        <f t="shared" si="16"/>
        <v>0</v>
      </c>
      <c r="ES14" s="447">
        <f t="shared" si="16"/>
        <v>0</v>
      </c>
      <c r="ET14" s="447">
        <f t="shared" si="16"/>
        <v>0</v>
      </c>
      <c r="EU14" s="447">
        <f t="shared" si="16"/>
        <v>0</v>
      </c>
      <c r="EV14" s="447">
        <f t="shared" si="16"/>
        <v>0</v>
      </c>
      <c r="EW14" s="447">
        <f t="shared" si="16"/>
        <v>0</v>
      </c>
      <c r="EX14" s="447">
        <f t="shared" si="16"/>
        <v>0</v>
      </c>
      <c r="EY14" s="447">
        <f t="shared" si="16"/>
        <v>0</v>
      </c>
      <c r="EZ14" s="447">
        <f t="shared" si="16"/>
        <v>1233251000</v>
      </c>
      <c r="FA14" s="447">
        <f t="shared" si="16"/>
        <v>180000000</v>
      </c>
      <c r="FB14" s="447">
        <f t="shared" si="16"/>
        <v>72132502</v>
      </c>
      <c r="FC14" s="447">
        <f t="shared" si="16"/>
        <v>28249751</v>
      </c>
      <c r="FD14" s="447">
        <f t="shared" si="16"/>
        <v>2935807</v>
      </c>
      <c r="FE14" s="447">
        <f aca="true" t="shared" si="17" ref="FE14:GH14">FE17+FE20+FE23+FE26+FE29+FE32+FE35+FE38+FE41+FE44+FE47+FE50+FE53+FE56+FE59+FE62+FE71+FE65+FE68+FE74+FE77+FE83+FE86+FE89+FE98+FE101+FE80+FE92+FE95</f>
        <v>76000000</v>
      </c>
      <c r="FF14" s="447">
        <f t="shared" si="17"/>
        <v>95000000</v>
      </c>
      <c r="FG14" s="447">
        <f t="shared" si="17"/>
        <v>0</v>
      </c>
      <c r="FH14" s="447">
        <f t="shared" si="17"/>
        <v>0</v>
      </c>
      <c r="FI14" s="447">
        <f t="shared" si="17"/>
        <v>0</v>
      </c>
      <c r="FJ14" s="447">
        <f t="shared" si="17"/>
        <v>0</v>
      </c>
      <c r="FK14" s="447">
        <f t="shared" si="17"/>
        <v>0</v>
      </c>
      <c r="FL14" s="447">
        <f t="shared" si="17"/>
        <v>0</v>
      </c>
      <c r="FM14" s="447">
        <f t="shared" si="17"/>
        <v>0</v>
      </c>
      <c r="FN14" s="447">
        <f t="shared" si="17"/>
        <v>0</v>
      </c>
      <c r="FO14" s="447">
        <f t="shared" si="17"/>
        <v>196273200</v>
      </c>
      <c r="FP14" s="447">
        <f t="shared" si="17"/>
        <v>106000000</v>
      </c>
      <c r="FQ14" s="447">
        <f t="shared" si="17"/>
        <v>0</v>
      </c>
      <c r="FR14" s="447">
        <f t="shared" si="17"/>
        <v>995000</v>
      </c>
      <c r="FS14" s="447">
        <f t="shared" si="17"/>
        <v>1035213700</v>
      </c>
      <c r="FT14" s="447">
        <f t="shared" si="17"/>
        <v>9094404500</v>
      </c>
      <c r="FU14" s="447">
        <f t="shared" si="17"/>
        <v>0</v>
      </c>
      <c r="FV14" s="447">
        <f t="shared" si="17"/>
        <v>9094404500</v>
      </c>
      <c r="FW14" s="447">
        <f t="shared" si="17"/>
        <v>0</v>
      </c>
      <c r="FX14" s="447">
        <f t="shared" si="17"/>
        <v>0</v>
      </c>
      <c r="FY14" s="447">
        <f t="shared" si="17"/>
        <v>0</v>
      </c>
      <c r="FZ14" s="447">
        <f t="shared" si="17"/>
        <v>520000000</v>
      </c>
      <c r="GA14" s="447">
        <f t="shared" si="17"/>
        <v>3000000</v>
      </c>
      <c r="GB14" s="447">
        <f t="shared" si="17"/>
        <v>15000000</v>
      </c>
      <c r="GC14" s="447">
        <f t="shared" si="17"/>
        <v>50000000</v>
      </c>
      <c r="GD14" s="447">
        <f t="shared" si="17"/>
        <v>4579112500</v>
      </c>
      <c r="GE14" s="447">
        <f t="shared" si="17"/>
        <v>3377292000</v>
      </c>
      <c r="GF14" s="447">
        <f t="shared" si="17"/>
        <v>480000000</v>
      </c>
      <c r="GG14" s="447">
        <f t="shared" si="17"/>
        <v>70000000</v>
      </c>
      <c r="GH14" s="447">
        <f t="shared" si="17"/>
        <v>27126880928</v>
      </c>
      <c r="GI14" s="467" t="s">
        <v>248</v>
      </c>
      <c r="GJ14" s="451">
        <f>CS14/C14</f>
        <v>0.9992983468894236</v>
      </c>
      <c r="GK14" s="451"/>
      <c r="GL14" s="451">
        <f>CZ14/J14</f>
        <v>0.9496138715682646</v>
      </c>
      <c r="GM14" s="451">
        <f>EO14/AY14</f>
        <v>0.9854898446657693</v>
      </c>
      <c r="GN14" s="451">
        <f>FT14/CD14</f>
        <v>0.9599902677741339</v>
      </c>
    </row>
    <row r="15" spans="1:196" s="456" customFormat="1" ht="15" customHeight="1">
      <c r="A15" s="452">
        <v>1</v>
      </c>
      <c r="B15" s="453" t="s">
        <v>249</v>
      </c>
      <c r="C15" s="454">
        <f aca="true" t="shared" si="18" ref="C15:H15">C16+C17</f>
        <v>7500973700</v>
      </c>
      <c r="D15" s="454">
        <f t="shared" si="18"/>
        <v>0</v>
      </c>
      <c r="E15" s="454">
        <f t="shared" si="18"/>
        <v>0</v>
      </c>
      <c r="F15" s="454">
        <f t="shared" si="18"/>
        <v>0</v>
      </c>
      <c r="G15" s="454">
        <f t="shared" si="18"/>
        <v>0</v>
      </c>
      <c r="H15" s="454">
        <f t="shared" si="18"/>
        <v>0</v>
      </c>
      <c r="I15" s="454">
        <f aca="true" t="shared" si="19" ref="I15:BY15">I16+I17</f>
        <v>0</v>
      </c>
      <c r="J15" s="454">
        <f>J16+J17</f>
        <v>7500973700</v>
      </c>
      <c r="K15" s="454">
        <f t="shared" si="19"/>
        <v>0</v>
      </c>
      <c r="L15" s="454">
        <f>L16+L17</f>
        <v>0</v>
      </c>
      <c r="M15" s="454">
        <f t="shared" si="19"/>
        <v>0</v>
      </c>
      <c r="N15" s="454">
        <f t="shared" si="19"/>
        <v>0</v>
      </c>
      <c r="O15" s="454">
        <f t="shared" si="19"/>
        <v>0</v>
      </c>
      <c r="P15" s="454">
        <f t="shared" si="19"/>
        <v>0</v>
      </c>
      <c r="Q15" s="454">
        <f t="shared" si="19"/>
        <v>0</v>
      </c>
      <c r="R15" s="454">
        <f t="shared" si="19"/>
        <v>0</v>
      </c>
      <c r="S15" s="454">
        <f>S16+S17</f>
        <v>0</v>
      </c>
      <c r="T15" s="454">
        <f t="shared" si="19"/>
        <v>90703700</v>
      </c>
      <c r="U15" s="454">
        <f t="shared" si="19"/>
        <v>0</v>
      </c>
      <c r="V15" s="454">
        <f>V16+V17</f>
        <v>0</v>
      </c>
      <c r="W15" s="454">
        <f>W16+W17</f>
        <v>0</v>
      </c>
      <c r="X15" s="454">
        <f t="shared" si="19"/>
        <v>0</v>
      </c>
      <c r="Y15" s="454">
        <f t="shared" si="19"/>
        <v>0</v>
      </c>
      <c r="Z15" s="454">
        <f t="shared" si="19"/>
        <v>0</v>
      </c>
      <c r="AA15" s="454">
        <f t="shared" si="19"/>
        <v>0</v>
      </c>
      <c r="AB15" s="454">
        <f t="shared" si="19"/>
        <v>0</v>
      </c>
      <c r="AC15" s="454">
        <f t="shared" si="19"/>
        <v>0</v>
      </c>
      <c r="AD15" s="454">
        <f t="shared" si="19"/>
        <v>0</v>
      </c>
      <c r="AE15" s="454">
        <f t="shared" si="19"/>
        <v>0</v>
      </c>
      <c r="AF15" s="454">
        <f t="shared" si="19"/>
        <v>0</v>
      </c>
      <c r="AG15" s="454">
        <f>AG16+AG17</f>
        <v>0</v>
      </c>
      <c r="AH15" s="454">
        <f t="shared" si="19"/>
        <v>0</v>
      </c>
      <c r="AI15" s="454">
        <f t="shared" si="19"/>
        <v>0</v>
      </c>
      <c r="AJ15" s="454">
        <f t="shared" si="19"/>
        <v>0</v>
      </c>
      <c r="AK15" s="454">
        <f t="shared" si="19"/>
        <v>0</v>
      </c>
      <c r="AL15" s="454">
        <f t="shared" si="19"/>
        <v>0</v>
      </c>
      <c r="AM15" s="454">
        <f t="shared" si="19"/>
        <v>0</v>
      </c>
      <c r="AN15" s="454">
        <f t="shared" si="19"/>
        <v>0</v>
      </c>
      <c r="AO15" s="454">
        <f t="shared" si="19"/>
        <v>0</v>
      </c>
      <c r="AP15" s="454">
        <f t="shared" si="19"/>
        <v>0</v>
      </c>
      <c r="AQ15" s="454">
        <f>AQ16+AQ17</f>
        <v>0</v>
      </c>
      <c r="AR15" s="454">
        <f>AR16+AR17</f>
        <v>0</v>
      </c>
      <c r="AS15" s="454">
        <f t="shared" si="19"/>
        <v>700000000</v>
      </c>
      <c r="AT15" s="454">
        <f t="shared" si="19"/>
        <v>0</v>
      </c>
      <c r="AU15" s="454">
        <f t="shared" si="19"/>
        <v>6544270000</v>
      </c>
      <c r="AV15" s="454">
        <f>AV16+AV17</f>
        <v>166000000</v>
      </c>
      <c r="AW15" s="454">
        <f t="shared" si="19"/>
        <v>0</v>
      </c>
      <c r="AX15" s="454">
        <f t="shared" si="19"/>
        <v>0</v>
      </c>
      <c r="AY15" s="454">
        <f>AY16+AY17</f>
        <v>0</v>
      </c>
      <c r="AZ15" s="454">
        <f>AZ16+AZ17</f>
        <v>0</v>
      </c>
      <c r="BA15" s="454">
        <f>BA16+BA17</f>
        <v>0</v>
      </c>
      <c r="BB15" s="454">
        <f t="shared" si="19"/>
        <v>0</v>
      </c>
      <c r="BC15" s="454">
        <f t="shared" si="19"/>
        <v>0</v>
      </c>
      <c r="BD15" s="454">
        <f t="shared" si="19"/>
        <v>0</v>
      </c>
      <c r="BE15" s="454">
        <f t="shared" si="19"/>
        <v>0</v>
      </c>
      <c r="BF15" s="454">
        <f t="shared" si="19"/>
        <v>0</v>
      </c>
      <c r="BG15" s="454">
        <f t="shared" si="19"/>
        <v>0</v>
      </c>
      <c r="BH15" s="454">
        <f t="shared" si="19"/>
        <v>0</v>
      </c>
      <c r="BI15" s="454">
        <f>BI16+BI17</f>
        <v>0</v>
      </c>
      <c r="BJ15" s="454">
        <f t="shared" si="19"/>
        <v>0</v>
      </c>
      <c r="BK15" s="454">
        <f t="shared" si="19"/>
        <v>0</v>
      </c>
      <c r="BL15" s="454">
        <f t="shared" si="19"/>
        <v>0</v>
      </c>
      <c r="BM15" s="454">
        <f t="shared" si="19"/>
        <v>0</v>
      </c>
      <c r="BN15" s="454">
        <f>BN16+BN17</f>
        <v>0</v>
      </c>
      <c r="BO15" s="454">
        <f t="shared" si="19"/>
        <v>0</v>
      </c>
      <c r="BP15" s="454">
        <f t="shared" si="19"/>
        <v>0</v>
      </c>
      <c r="BQ15" s="454">
        <f t="shared" si="19"/>
        <v>0</v>
      </c>
      <c r="BR15" s="454">
        <f t="shared" si="19"/>
        <v>0</v>
      </c>
      <c r="BS15" s="454">
        <f t="shared" si="19"/>
        <v>0</v>
      </c>
      <c r="BT15" s="454">
        <f t="shared" si="19"/>
        <v>0</v>
      </c>
      <c r="BU15" s="454">
        <f t="shared" si="19"/>
        <v>0</v>
      </c>
      <c r="BV15" s="454">
        <f t="shared" si="19"/>
        <v>0</v>
      </c>
      <c r="BW15" s="454">
        <f t="shared" si="19"/>
        <v>0</v>
      </c>
      <c r="BX15" s="454">
        <f t="shared" si="19"/>
        <v>0</v>
      </c>
      <c r="BY15" s="454">
        <f t="shared" si="19"/>
        <v>0</v>
      </c>
      <c r="BZ15" s="454">
        <f aca="true" t="shared" si="20" ref="BZ15:CP15">BZ16+BZ17</f>
        <v>0</v>
      </c>
      <c r="CA15" s="454">
        <f>CA16+CA17</f>
        <v>0</v>
      </c>
      <c r="CB15" s="454">
        <f t="shared" si="20"/>
        <v>0</v>
      </c>
      <c r="CC15" s="454">
        <f t="shared" si="20"/>
        <v>0</v>
      </c>
      <c r="CD15" s="454">
        <f>CD16+CD17</f>
        <v>0</v>
      </c>
      <c r="CE15" s="454">
        <f>CE16+CE17</f>
        <v>0</v>
      </c>
      <c r="CF15" s="454">
        <f>CF16+CF17</f>
        <v>0</v>
      </c>
      <c r="CG15" s="454">
        <f t="shared" si="20"/>
        <v>0</v>
      </c>
      <c r="CH15" s="454">
        <f>CH16+CH17</f>
        <v>0</v>
      </c>
      <c r="CI15" s="454">
        <f>CI16+CI17</f>
        <v>0</v>
      </c>
      <c r="CJ15" s="454">
        <f t="shared" si="20"/>
        <v>0</v>
      </c>
      <c r="CK15" s="454">
        <f t="shared" si="20"/>
        <v>0</v>
      </c>
      <c r="CL15" s="454">
        <f t="shared" si="20"/>
        <v>0</v>
      </c>
      <c r="CM15" s="454">
        <f t="shared" si="20"/>
        <v>0</v>
      </c>
      <c r="CN15" s="454">
        <f t="shared" si="20"/>
        <v>0</v>
      </c>
      <c r="CO15" s="454">
        <f t="shared" si="20"/>
        <v>0</v>
      </c>
      <c r="CP15" s="454">
        <f t="shared" si="20"/>
        <v>0</v>
      </c>
      <c r="CQ15" s="454">
        <f>CQ16+CQ17</f>
        <v>0</v>
      </c>
      <c r="CR15" s="453" t="s">
        <v>249</v>
      </c>
      <c r="CS15" s="454">
        <f aca="true" t="shared" si="21" ref="CS15:CX15">CS16+CS17</f>
        <v>7494133021</v>
      </c>
      <c r="CT15" s="454">
        <f t="shared" si="21"/>
        <v>0</v>
      </c>
      <c r="CU15" s="454">
        <f t="shared" si="21"/>
        <v>0</v>
      </c>
      <c r="CV15" s="454">
        <f t="shared" si="21"/>
        <v>0</v>
      </c>
      <c r="CW15" s="454">
        <f t="shared" si="21"/>
        <v>0</v>
      </c>
      <c r="CX15" s="454">
        <f t="shared" si="21"/>
        <v>0</v>
      </c>
      <c r="CY15" s="454">
        <f aca="true" t="shared" si="22" ref="CY15:EN15">CY16+CY17</f>
        <v>0</v>
      </c>
      <c r="CZ15" s="454">
        <f t="shared" si="22"/>
        <v>7494133021</v>
      </c>
      <c r="DA15" s="454">
        <f t="shared" si="22"/>
        <v>0</v>
      </c>
      <c r="DB15" s="454">
        <f>DB16+DB17</f>
        <v>0</v>
      </c>
      <c r="DC15" s="454">
        <f t="shared" si="22"/>
        <v>0</v>
      </c>
      <c r="DD15" s="454">
        <f t="shared" si="22"/>
        <v>0</v>
      </c>
      <c r="DE15" s="454">
        <f t="shared" si="22"/>
        <v>0</v>
      </c>
      <c r="DF15" s="454">
        <f t="shared" si="22"/>
        <v>0</v>
      </c>
      <c r="DG15" s="454">
        <f t="shared" si="22"/>
        <v>0</v>
      </c>
      <c r="DH15" s="454">
        <f t="shared" si="22"/>
        <v>0</v>
      </c>
      <c r="DI15" s="454">
        <f>DI16+DI17</f>
        <v>0</v>
      </c>
      <c r="DJ15" s="454">
        <f t="shared" si="22"/>
        <v>90703700</v>
      </c>
      <c r="DK15" s="454">
        <f t="shared" si="22"/>
        <v>0</v>
      </c>
      <c r="DL15" s="454">
        <f>DL16+DL17</f>
        <v>0</v>
      </c>
      <c r="DM15" s="454">
        <f>DM16+DM17</f>
        <v>0</v>
      </c>
      <c r="DN15" s="454">
        <f t="shared" si="22"/>
        <v>0</v>
      </c>
      <c r="DO15" s="454">
        <f t="shared" si="22"/>
        <v>0</v>
      </c>
      <c r="DP15" s="454">
        <f t="shared" si="22"/>
        <v>0</v>
      </c>
      <c r="DQ15" s="454">
        <f t="shared" si="22"/>
        <v>0</v>
      </c>
      <c r="DR15" s="454">
        <f t="shared" si="22"/>
        <v>0</v>
      </c>
      <c r="DS15" s="454">
        <f t="shared" si="22"/>
        <v>0</v>
      </c>
      <c r="DT15" s="454">
        <f t="shared" si="22"/>
        <v>0</v>
      </c>
      <c r="DU15" s="454">
        <f t="shared" si="22"/>
        <v>0</v>
      </c>
      <c r="DV15" s="454">
        <f t="shared" si="22"/>
        <v>0</v>
      </c>
      <c r="DW15" s="454">
        <f>DW16+DW17</f>
        <v>0</v>
      </c>
      <c r="DX15" s="454">
        <f t="shared" si="22"/>
        <v>0</v>
      </c>
      <c r="DY15" s="454">
        <f t="shared" si="22"/>
        <v>0</v>
      </c>
      <c r="DZ15" s="454">
        <f t="shared" si="22"/>
        <v>0</v>
      </c>
      <c r="EA15" s="454">
        <f t="shared" si="22"/>
        <v>0</v>
      </c>
      <c r="EB15" s="454">
        <f t="shared" si="22"/>
        <v>0</v>
      </c>
      <c r="EC15" s="454">
        <f t="shared" si="22"/>
        <v>0</v>
      </c>
      <c r="ED15" s="454">
        <f t="shared" si="22"/>
        <v>0</v>
      </c>
      <c r="EE15" s="454">
        <f t="shared" si="22"/>
        <v>0</v>
      </c>
      <c r="EF15" s="454">
        <f t="shared" si="22"/>
        <v>0</v>
      </c>
      <c r="EG15" s="454">
        <f>EG16+EG17</f>
        <v>0</v>
      </c>
      <c r="EH15" s="454">
        <f>EH16+EH17</f>
        <v>0</v>
      </c>
      <c r="EI15" s="454">
        <f t="shared" si="22"/>
        <v>699576000</v>
      </c>
      <c r="EJ15" s="454">
        <f t="shared" si="22"/>
        <v>0</v>
      </c>
      <c r="EK15" s="454">
        <f t="shared" si="22"/>
        <v>6538373321</v>
      </c>
      <c r="EL15" s="454">
        <f>EL16+EL17</f>
        <v>165480000</v>
      </c>
      <c r="EM15" s="454">
        <f t="shared" si="22"/>
        <v>0</v>
      </c>
      <c r="EN15" s="454">
        <f t="shared" si="22"/>
        <v>0</v>
      </c>
      <c r="EO15" s="454">
        <f>EO16+EO17</f>
        <v>0</v>
      </c>
      <c r="EP15" s="454">
        <f>EP16+EP17</f>
        <v>0</v>
      </c>
      <c r="EQ15" s="454">
        <f aca="true" t="shared" si="23" ref="EQ15:FS15">EQ16+EQ17</f>
        <v>0</v>
      </c>
      <c r="ER15" s="454">
        <f t="shared" si="23"/>
        <v>0</v>
      </c>
      <c r="ES15" s="454">
        <f t="shared" si="23"/>
        <v>0</v>
      </c>
      <c r="ET15" s="454">
        <f t="shared" si="23"/>
        <v>0</v>
      </c>
      <c r="EU15" s="454">
        <f t="shared" si="23"/>
        <v>0</v>
      </c>
      <c r="EV15" s="454">
        <f t="shared" si="23"/>
        <v>0</v>
      </c>
      <c r="EW15" s="454">
        <f t="shared" si="23"/>
        <v>0</v>
      </c>
      <c r="EX15" s="454">
        <f t="shared" si="23"/>
        <v>0</v>
      </c>
      <c r="EY15" s="454">
        <f>EY16+EY17</f>
        <v>0</v>
      </c>
      <c r="EZ15" s="454">
        <f t="shared" si="23"/>
        <v>0</v>
      </c>
      <c r="FA15" s="454">
        <f t="shared" si="23"/>
        <v>0</v>
      </c>
      <c r="FB15" s="454">
        <f t="shared" si="23"/>
        <v>0</v>
      </c>
      <c r="FC15" s="454">
        <f t="shared" si="23"/>
        <v>0</v>
      </c>
      <c r="FD15" s="454">
        <f>FD16+FD17</f>
        <v>0</v>
      </c>
      <c r="FE15" s="454">
        <f t="shared" si="23"/>
        <v>0</v>
      </c>
      <c r="FF15" s="454">
        <f t="shared" si="23"/>
        <v>0</v>
      </c>
      <c r="FG15" s="454">
        <f t="shared" si="23"/>
        <v>0</v>
      </c>
      <c r="FH15" s="454">
        <f t="shared" si="23"/>
        <v>0</v>
      </c>
      <c r="FI15" s="454">
        <f t="shared" si="23"/>
        <v>0</v>
      </c>
      <c r="FJ15" s="454">
        <f t="shared" si="23"/>
        <v>0</v>
      </c>
      <c r="FK15" s="454">
        <f t="shared" si="23"/>
        <v>0</v>
      </c>
      <c r="FL15" s="454">
        <f t="shared" si="23"/>
        <v>0</v>
      </c>
      <c r="FM15" s="454">
        <f t="shared" si="23"/>
        <v>0</v>
      </c>
      <c r="FN15" s="454">
        <f t="shared" si="23"/>
        <v>0</v>
      </c>
      <c r="FO15" s="454">
        <f t="shared" si="23"/>
        <v>0</v>
      </c>
      <c r="FP15" s="454">
        <f t="shared" si="23"/>
        <v>0</v>
      </c>
      <c r="FQ15" s="454">
        <f>FQ16+FQ17</f>
        <v>0</v>
      </c>
      <c r="FR15" s="454">
        <f t="shared" si="23"/>
        <v>0</v>
      </c>
      <c r="FS15" s="454">
        <f t="shared" si="23"/>
        <v>0</v>
      </c>
      <c r="FT15" s="454">
        <f>FT16+FT17</f>
        <v>0</v>
      </c>
      <c r="FU15" s="454">
        <f aca="true" t="shared" si="24" ref="FU15:GF15">FU16+FU17</f>
        <v>0</v>
      </c>
      <c r="FV15" s="454">
        <f t="shared" si="24"/>
        <v>0</v>
      </c>
      <c r="FW15" s="454">
        <f t="shared" si="24"/>
        <v>0</v>
      </c>
      <c r="FX15" s="454">
        <f>FX16+FX17</f>
        <v>0</v>
      </c>
      <c r="FY15" s="454"/>
      <c r="FZ15" s="454">
        <f t="shared" si="24"/>
        <v>0</v>
      </c>
      <c r="GA15" s="454">
        <f t="shared" si="24"/>
        <v>0</v>
      </c>
      <c r="GB15" s="454">
        <f t="shared" si="24"/>
        <v>0</v>
      </c>
      <c r="GC15" s="454">
        <f t="shared" si="24"/>
        <v>0</v>
      </c>
      <c r="GD15" s="454">
        <f t="shared" si="24"/>
        <v>0</v>
      </c>
      <c r="GE15" s="454">
        <f t="shared" si="24"/>
        <v>0</v>
      </c>
      <c r="GF15" s="454">
        <f t="shared" si="24"/>
        <v>0</v>
      </c>
      <c r="GG15" s="454">
        <f>GG16+GG17</f>
        <v>0</v>
      </c>
      <c r="GH15" s="454">
        <f>GH16+GH17</f>
        <v>0</v>
      </c>
      <c r="GI15" s="453" t="s">
        <v>249</v>
      </c>
      <c r="GJ15" s="455">
        <f>CS15/C15</f>
        <v>0.9990880278649691</v>
      </c>
      <c r="GK15" s="455"/>
      <c r="GL15" s="455">
        <f>CZ15/J15</f>
        <v>0.9990880278649691</v>
      </c>
      <c r="GM15" s="455"/>
      <c r="GN15" s="455"/>
    </row>
    <row r="16" spans="1:196" s="456" customFormat="1" ht="15" customHeight="1" hidden="1">
      <c r="A16" s="452"/>
      <c r="B16" s="453" t="s">
        <v>250</v>
      </c>
      <c r="C16" s="457">
        <f>D16+J16+AY16+CD16</f>
        <v>0</v>
      </c>
      <c r="D16" s="457">
        <f>SUM(E16:I16)</f>
        <v>0</v>
      </c>
      <c r="E16" s="457"/>
      <c r="F16" s="457"/>
      <c r="G16" s="457"/>
      <c r="H16" s="457"/>
      <c r="I16" s="457"/>
      <c r="J16" s="457">
        <f>SUM(K16:AX16)</f>
        <v>0</v>
      </c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C16" s="457"/>
      <c r="AD16" s="457"/>
      <c r="AE16" s="457"/>
      <c r="AF16" s="457"/>
      <c r="AG16" s="457"/>
      <c r="AH16" s="457"/>
      <c r="AI16" s="457"/>
      <c r="AJ16" s="457"/>
      <c r="AK16" s="457"/>
      <c r="AL16" s="457"/>
      <c r="AM16" s="457"/>
      <c r="AN16" s="457"/>
      <c r="AO16" s="457"/>
      <c r="AP16" s="457"/>
      <c r="AQ16" s="457"/>
      <c r="AR16" s="457"/>
      <c r="AS16" s="457"/>
      <c r="AT16" s="457"/>
      <c r="AU16" s="457"/>
      <c r="AV16" s="457"/>
      <c r="AW16" s="457"/>
      <c r="AX16" s="457"/>
      <c r="AY16" s="457">
        <f>SUM(AZ16:BA16)</f>
        <v>0</v>
      </c>
      <c r="AZ16" s="457">
        <f>SUM(BB16:BI16)+SUM(BQ16:BX16)</f>
        <v>0</v>
      </c>
      <c r="BA16" s="457">
        <f>SUM(BJ16:BP16)+SUM(BY16:CC16)</f>
        <v>0</v>
      </c>
      <c r="BB16" s="457"/>
      <c r="BC16" s="457"/>
      <c r="BD16" s="457"/>
      <c r="BE16" s="457"/>
      <c r="BF16" s="457"/>
      <c r="BG16" s="457"/>
      <c r="BH16" s="457"/>
      <c r="BI16" s="457"/>
      <c r="BJ16" s="457"/>
      <c r="BK16" s="457"/>
      <c r="BL16" s="457"/>
      <c r="BM16" s="457"/>
      <c r="BN16" s="457"/>
      <c r="BO16" s="457"/>
      <c r="BP16" s="457"/>
      <c r="BQ16" s="457"/>
      <c r="BR16" s="457"/>
      <c r="BS16" s="457"/>
      <c r="BT16" s="457"/>
      <c r="BU16" s="457"/>
      <c r="BV16" s="457"/>
      <c r="BW16" s="457"/>
      <c r="BX16" s="457"/>
      <c r="BY16" s="457"/>
      <c r="BZ16" s="457"/>
      <c r="CA16" s="457"/>
      <c r="CB16" s="457"/>
      <c r="CC16" s="457"/>
      <c r="CD16" s="457">
        <f>SUM(CE16:CF16)</f>
        <v>0</v>
      </c>
      <c r="CE16" s="457">
        <f>SUM(CG16:CI16)</f>
        <v>0</v>
      </c>
      <c r="CF16" s="457">
        <f>SUM(CJ16:CQ16)</f>
        <v>0</v>
      </c>
      <c r="CG16" s="457"/>
      <c r="CH16" s="457"/>
      <c r="CI16" s="457"/>
      <c r="CJ16" s="457"/>
      <c r="CK16" s="457"/>
      <c r="CL16" s="457"/>
      <c r="CM16" s="457"/>
      <c r="CN16" s="457"/>
      <c r="CO16" s="457"/>
      <c r="CP16" s="457"/>
      <c r="CQ16" s="457"/>
      <c r="CR16" s="453" t="s">
        <v>250</v>
      </c>
      <c r="CS16" s="457">
        <f>CT16+CZ16+EO16+FT16+GH16</f>
        <v>0</v>
      </c>
      <c r="CT16" s="457">
        <f>SUM(CU16:CY16)</f>
        <v>0</v>
      </c>
      <c r="CU16" s="457"/>
      <c r="CV16" s="457"/>
      <c r="CW16" s="457"/>
      <c r="CX16" s="457"/>
      <c r="CY16" s="457"/>
      <c r="CZ16" s="457">
        <f>SUM(DA16:EN16)</f>
        <v>0</v>
      </c>
      <c r="DA16" s="457"/>
      <c r="DB16" s="457"/>
      <c r="DC16" s="457"/>
      <c r="DD16" s="457"/>
      <c r="DE16" s="457"/>
      <c r="DF16" s="457"/>
      <c r="DG16" s="457"/>
      <c r="DH16" s="457"/>
      <c r="DI16" s="457"/>
      <c r="DJ16" s="457"/>
      <c r="DK16" s="457"/>
      <c r="DL16" s="457"/>
      <c r="DM16" s="457"/>
      <c r="DN16" s="457"/>
      <c r="DO16" s="457"/>
      <c r="DP16" s="457"/>
      <c r="DQ16" s="457"/>
      <c r="DR16" s="457"/>
      <c r="DS16" s="457"/>
      <c r="DT16" s="457"/>
      <c r="DU16" s="457"/>
      <c r="DV16" s="457"/>
      <c r="DW16" s="457"/>
      <c r="DX16" s="457"/>
      <c r="DY16" s="457"/>
      <c r="DZ16" s="457"/>
      <c r="EA16" s="457"/>
      <c r="EB16" s="457"/>
      <c r="EC16" s="457"/>
      <c r="ED16" s="457"/>
      <c r="EE16" s="457"/>
      <c r="EF16" s="457"/>
      <c r="EG16" s="457"/>
      <c r="EH16" s="457"/>
      <c r="EI16" s="457"/>
      <c r="EJ16" s="457"/>
      <c r="EK16" s="457"/>
      <c r="EL16" s="457"/>
      <c r="EM16" s="457"/>
      <c r="EN16" s="457"/>
      <c r="EO16" s="457">
        <f>SUM(EP16:EQ16)</f>
        <v>0</v>
      </c>
      <c r="EP16" s="457">
        <f>SUM(ER16:EY16)+SUM(FG16:FN16)</f>
        <v>0</v>
      </c>
      <c r="EQ16" s="457">
        <f>SUM(EZ16:FF16)+SUM(FO16:FS16)</f>
        <v>0</v>
      </c>
      <c r="ER16" s="457"/>
      <c r="ES16" s="457"/>
      <c r="ET16" s="457"/>
      <c r="EU16" s="457"/>
      <c r="EV16" s="457"/>
      <c r="EW16" s="457"/>
      <c r="EX16" s="457"/>
      <c r="EY16" s="457"/>
      <c r="EZ16" s="457"/>
      <c r="FA16" s="457"/>
      <c r="FB16" s="457"/>
      <c r="FC16" s="457"/>
      <c r="FD16" s="457"/>
      <c r="FE16" s="457"/>
      <c r="FF16" s="457"/>
      <c r="FG16" s="457"/>
      <c r="FH16" s="457"/>
      <c r="FI16" s="457"/>
      <c r="FJ16" s="457"/>
      <c r="FK16" s="457"/>
      <c r="FL16" s="457"/>
      <c r="FM16" s="457"/>
      <c r="FN16" s="457"/>
      <c r="FO16" s="457"/>
      <c r="FP16" s="457"/>
      <c r="FQ16" s="457"/>
      <c r="FR16" s="457"/>
      <c r="FS16" s="457"/>
      <c r="FT16" s="457">
        <f>SUM(FU16:FV16)</f>
        <v>0</v>
      </c>
      <c r="FU16" s="457">
        <f>SUM(FW16:FY16)</f>
        <v>0</v>
      </c>
      <c r="FV16" s="457">
        <f>SUM(FZ16:GG16)</f>
        <v>0</v>
      </c>
      <c r="FW16" s="457"/>
      <c r="FX16" s="457"/>
      <c r="FY16" s="457"/>
      <c r="FZ16" s="457"/>
      <c r="GA16" s="457"/>
      <c r="GB16" s="457"/>
      <c r="GC16" s="457"/>
      <c r="GD16" s="457"/>
      <c r="GE16" s="457"/>
      <c r="GF16" s="457"/>
      <c r="GG16" s="457"/>
      <c r="GH16" s="457"/>
      <c r="GI16" s="453" t="s">
        <v>250</v>
      </c>
      <c r="GJ16" s="455"/>
      <c r="GK16" s="455"/>
      <c r="GL16" s="455"/>
      <c r="GM16" s="455"/>
      <c r="GN16" s="455"/>
    </row>
    <row r="17" spans="1:196" s="456" customFormat="1" ht="15" customHeight="1" hidden="1">
      <c r="A17" s="452"/>
      <c r="B17" s="453" t="s">
        <v>251</v>
      </c>
      <c r="C17" s="457">
        <f>D17+J17+AY17+CD17</f>
        <v>7500973700</v>
      </c>
      <c r="D17" s="457">
        <f>SUM(E17:I17)</f>
        <v>0</v>
      </c>
      <c r="E17" s="454"/>
      <c r="F17" s="454"/>
      <c r="G17" s="454"/>
      <c r="H17" s="454"/>
      <c r="I17" s="454"/>
      <c r="J17" s="457">
        <f>SUM(K17:AX17)</f>
        <v>7500973700</v>
      </c>
      <c r="K17" s="454"/>
      <c r="L17" s="454"/>
      <c r="M17" s="454"/>
      <c r="N17" s="454"/>
      <c r="O17" s="454"/>
      <c r="P17" s="454"/>
      <c r="Q17" s="454"/>
      <c r="R17" s="454"/>
      <c r="S17" s="454"/>
      <c r="T17" s="454">
        <f>100000000-9296300</f>
        <v>90703700</v>
      </c>
      <c r="U17" s="454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4"/>
      <c r="AK17" s="454"/>
      <c r="AL17" s="454"/>
      <c r="AM17" s="454"/>
      <c r="AN17" s="454"/>
      <c r="AO17" s="454"/>
      <c r="AP17" s="454"/>
      <c r="AQ17" s="454"/>
      <c r="AR17" s="454"/>
      <c r="AS17" s="454">
        <v>700000000</v>
      </c>
      <c r="AT17" s="454"/>
      <c r="AU17" s="454">
        <v>6544270000</v>
      </c>
      <c r="AV17" s="454">
        <v>166000000</v>
      </c>
      <c r="AW17" s="454"/>
      <c r="AX17" s="454"/>
      <c r="AY17" s="457">
        <f>SUM(AZ17:BA17)</f>
        <v>0</v>
      </c>
      <c r="AZ17" s="457">
        <f>SUM(BB17:BI17)+SUM(BQ17:BX17)</f>
        <v>0</v>
      </c>
      <c r="BA17" s="457">
        <f>SUM(BJ17:BP17)+SUM(BY17:CC17)</f>
        <v>0</v>
      </c>
      <c r="BB17" s="454"/>
      <c r="BC17" s="454"/>
      <c r="BD17" s="454"/>
      <c r="BE17" s="454"/>
      <c r="BF17" s="454"/>
      <c r="BG17" s="454"/>
      <c r="BH17" s="454"/>
      <c r="BI17" s="454"/>
      <c r="BJ17" s="454"/>
      <c r="BK17" s="454"/>
      <c r="BL17" s="454"/>
      <c r="BM17" s="454"/>
      <c r="BN17" s="454"/>
      <c r="BO17" s="454"/>
      <c r="BP17" s="454"/>
      <c r="BQ17" s="454"/>
      <c r="BR17" s="454"/>
      <c r="BS17" s="454"/>
      <c r="BT17" s="454"/>
      <c r="BU17" s="454"/>
      <c r="BV17" s="454"/>
      <c r="BW17" s="454"/>
      <c r="BX17" s="454"/>
      <c r="BY17" s="454"/>
      <c r="BZ17" s="454"/>
      <c r="CA17" s="454"/>
      <c r="CB17" s="454"/>
      <c r="CC17" s="454"/>
      <c r="CD17" s="457">
        <f>SUM(CE17:CF17)</f>
        <v>0</v>
      </c>
      <c r="CE17" s="457">
        <f>SUM(CG17:CI17)</f>
        <v>0</v>
      </c>
      <c r="CF17" s="457">
        <f>SUM(CJ17:CQ17)</f>
        <v>0</v>
      </c>
      <c r="CG17" s="454"/>
      <c r="CH17" s="454"/>
      <c r="CI17" s="454"/>
      <c r="CJ17" s="454"/>
      <c r="CK17" s="454"/>
      <c r="CL17" s="454"/>
      <c r="CM17" s="454"/>
      <c r="CN17" s="454"/>
      <c r="CO17" s="454"/>
      <c r="CP17" s="454"/>
      <c r="CQ17" s="454"/>
      <c r="CR17" s="453" t="s">
        <v>251</v>
      </c>
      <c r="CS17" s="457">
        <f>CT17+CZ17+EO17+FT17+GH17</f>
        <v>7494133021</v>
      </c>
      <c r="CT17" s="457">
        <f>SUM(CU17:CY17)</f>
        <v>0</v>
      </c>
      <c r="CU17" s="454"/>
      <c r="CV17" s="454"/>
      <c r="CW17" s="454"/>
      <c r="CX17" s="454"/>
      <c r="CY17" s="454"/>
      <c r="CZ17" s="457">
        <f>SUM(DA17:EN17)</f>
        <v>7494133021</v>
      </c>
      <c r="DA17" s="454"/>
      <c r="DB17" s="454"/>
      <c r="DC17" s="454"/>
      <c r="DD17" s="454"/>
      <c r="DE17" s="454"/>
      <c r="DF17" s="454"/>
      <c r="DG17" s="454"/>
      <c r="DH17" s="454"/>
      <c r="DI17" s="454"/>
      <c r="DJ17" s="454">
        <v>90703700</v>
      </c>
      <c r="DK17" s="454"/>
      <c r="DL17" s="454"/>
      <c r="DM17" s="454"/>
      <c r="DN17" s="454"/>
      <c r="DO17" s="454"/>
      <c r="DP17" s="454"/>
      <c r="DQ17" s="454"/>
      <c r="DR17" s="454"/>
      <c r="DS17" s="454"/>
      <c r="DT17" s="454"/>
      <c r="DU17" s="454"/>
      <c r="DV17" s="454"/>
      <c r="DW17" s="454"/>
      <c r="DX17" s="454"/>
      <c r="DY17" s="454"/>
      <c r="DZ17" s="454"/>
      <c r="EA17" s="454"/>
      <c r="EB17" s="454"/>
      <c r="EC17" s="454"/>
      <c r="ED17" s="454"/>
      <c r="EE17" s="454"/>
      <c r="EF17" s="454"/>
      <c r="EG17" s="454"/>
      <c r="EH17" s="454"/>
      <c r="EI17" s="454">
        <v>699576000</v>
      </c>
      <c r="EJ17" s="454"/>
      <c r="EK17" s="454">
        <f>6544270000-5896679</f>
        <v>6538373321</v>
      </c>
      <c r="EL17" s="454">
        <f>166000000-520000</f>
        <v>165480000</v>
      </c>
      <c r="EM17" s="454"/>
      <c r="EN17" s="454"/>
      <c r="EO17" s="457">
        <f>SUM(EP17:EQ17)</f>
        <v>0</v>
      </c>
      <c r="EP17" s="457">
        <f>SUM(ER17:EY17)+SUM(FG17:FN17)</f>
        <v>0</v>
      </c>
      <c r="EQ17" s="457">
        <f>SUM(EZ17:FF17)+SUM(FO17:FS17)</f>
        <v>0</v>
      </c>
      <c r="ER17" s="454"/>
      <c r="ES17" s="454"/>
      <c r="ET17" s="454"/>
      <c r="EU17" s="454"/>
      <c r="EV17" s="454"/>
      <c r="EW17" s="454"/>
      <c r="EX17" s="454"/>
      <c r="EY17" s="454"/>
      <c r="EZ17" s="454"/>
      <c r="FA17" s="454"/>
      <c r="FB17" s="454"/>
      <c r="FC17" s="454"/>
      <c r="FD17" s="454"/>
      <c r="FE17" s="454"/>
      <c r="FF17" s="454"/>
      <c r="FG17" s="454"/>
      <c r="FH17" s="454"/>
      <c r="FI17" s="454"/>
      <c r="FJ17" s="454"/>
      <c r="FK17" s="454"/>
      <c r="FL17" s="454"/>
      <c r="FM17" s="454"/>
      <c r="FN17" s="454"/>
      <c r="FO17" s="454"/>
      <c r="FP17" s="454"/>
      <c r="FQ17" s="454"/>
      <c r="FR17" s="454"/>
      <c r="FS17" s="454"/>
      <c r="FT17" s="457">
        <f>SUM(FU17:FV17)</f>
        <v>0</v>
      </c>
      <c r="FU17" s="457">
        <f>SUM(FW17:FY17)</f>
        <v>0</v>
      </c>
      <c r="FV17" s="457">
        <f>SUM(FZ17:GG17)</f>
        <v>0</v>
      </c>
      <c r="FW17" s="454"/>
      <c r="FX17" s="454"/>
      <c r="FY17" s="454"/>
      <c r="FZ17" s="454"/>
      <c r="GA17" s="454"/>
      <c r="GB17" s="454"/>
      <c r="GC17" s="454"/>
      <c r="GD17" s="454"/>
      <c r="GE17" s="454"/>
      <c r="GF17" s="454"/>
      <c r="GG17" s="454"/>
      <c r="GH17" s="454"/>
      <c r="GI17" s="453" t="s">
        <v>251</v>
      </c>
      <c r="GJ17" s="455">
        <f>CS17/C17</f>
        <v>0.9990880278649691</v>
      </c>
      <c r="GK17" s="455"/>
      <c r="GL17" s="455">
        <f>CZ17/J17</f>
        <v>0.9990880278649691</v>
      </c>
      <c r="GM17" s="455"/>
      <c r="GN17" s="455"/>
    </row>
    <row r="18" spans="1:196" s="456" customFormat="1" ht="15" customHeight="1">
      <c r="A18" s="452">
        <v>2</v>
      </c>
      <c r="B18" s="453" t="s">
        <v>252</v>
      </c>
      <c r="C18" s="457">
        <f aca="true" t="shared" si="25" ref="C18:J18">C19+C20</f>
        <v>6779604828</v>
      </c>
      <c r="D18" s="457">
        <f t="shared" si="25"/>
        <v>0</v>
      </c>
      <c r="E18" s="457">
        <f t="shared" si="25"/>
        <v>0</v>
      </c>
      <c r="F18" s="457">
        <f t="shared" si="25"/>
        <v>0</v>
      </c>
      <c r="G18" s="457">
        <f t="shared" si="25"/>
        <v>0</v>
      </c>
      <c r="H18" s="457">
        <f>H19+H20</f>
        <v>0</v>
      </c>
      <c r="I18" s="457">
        <f t="shared" si="25"/>
        <v>0</v>
      </c>
      <c r="J18" s="457">
        <f t="shared" si="25"/>
        <v>6779604828</v>
      </c>
      <c r="K18" s="457">
        <f aca="true" t="shared" si="26" ref="K18:BY18">K19+K20</f>
        <v>0</v>
      </c>
      <c r="L18" s="457">
        <f>L19+L20</f>
        <v>0</v>
      </c>
      <c r="M18" s="457">
        <f t="shared" si="26"/>
        <v>0</v>
      </c>
      <c r="N18" s="457">
        <f t="shared" si="26"/>
        <v>0</v>
      </c>
      <c r="O18" s="457">
        <f t="shared" si="26"/>
        <v>0</v>
      </c>
      <c r="P18" s="457">
        <f t="shared" si="26"/>
        <v>0</v>
      </c>
      <c r="Q18" s="457">
        <f t="shared" si="26"/>
        <v>0</v>
      </c>
      <c r="R18" s="457">
        <f t="shared" si="26"/>
        <v>0</v>
      </c>
      <c r="S18" s="457">
        <f>S19+S20</f>
        <v>0</v>
      </c>
      <c r="T18" s="457">
        <f t="shared" si="26"/>
        <v>20000000</v>
      </c>
      <c r="U18" s="457">
        <f t="shared" si="26"/>
        <v>200000000</v>
      </c>
      <c r="V18" s="457">
        <f>V19+V20</f>
        <v>0</v>
      </c>
      <c r="W18" s="457">
        <f>W19+W20</f>
        <v>0</v>
      </c>
      <c r="X18" s="457">
        <f t="shared" si="26"/>
        <v>0</v>
      </c>
      <c r="Y18" s="457">
        <f t="shared" si="26"/>
        <v>0</v>
      </c>
      <c r="Z18" s="457">
        <f t="shared" si="26"/>
        <v>0</v>
      </c>
      <c r="AA18" s="457">
        <f t="shared" si="26"/>
        <v>0</v>
      </c>
      <c r="AB18" s="457">
        <f t="shared" si="26"/>
        <v>0</v>
      </c>
      <c r="AC18" s="457">
        <f t="shared" si="26"/>
        <v>0</v>
      </c>
      <c r="AD18" s="457">
        <f t="shared" si="26"/>
        <v>0</v>
      </c>
      <c r="AE18" s="457">
        <f t="shared" si="26"/>
        <v>0</v>
      </c>
      <c r="AF18" s="457">
        <f t="shared" si="26"/>
        <v>0</v>
      </c>
      <c r="AG18" s="457">
        <f>AG19+AG20</f>
        <v>0</v>
      </c>
      <c r="AH18" s="457">
        <f t="shared" si="26"/>
        <v>0</v>
      </c>
      <c r="AI18" s="457">
        <f t="shared" si="26"/>
        <v>0</v>
      </c>
      <c r="AJ18" s="457">
        <f t="shared" si="26"/>
        <v>0</v>
      </c>
      <c r="AK18" s="457">
        <f t="shared" si="26"/>
        <v>0</v>
      </c>
      <c r="AL18" s="457">
        <f t="shared" si="26"/>
        <v>0</v>
      </c>
      <c r="AM18" s="457">
        <f t="shared" si="26"/>
        <v>0</v>
      </c>
      <c r="AN18" s="457">
        <f t="shared" si="26"/>
        <v>0</v>
      </c>
      <c r="AO18" s="457">
        <f t="shared" si="26"/>
        <v>0</v>
      </c>
      <c r="AP18" s="457">
        <f t="shared" si="26"/>
        <v>0</v>
      </c>
      <c r="AQ18" s="457">
        <f>AQ19+AQ20</f>
        <v>0</v>
      </c>
      <c r="AR18" s="457">
        <f>AR19+AR20</f>
        <v>0</v>
      </c>
      <c r="AS18" s="457">
        <f t="shared" si="26"/>
        <v>0</v>
      </c>
      <c r="AT18" s="457">
        <f t="shared" si="26"/>
        <v>0</v>
      </c>
      <c r="AU18" s="457">
        <f t="shared" si="26"/>
        <v>6559604828</v>
      </c>
      <c r="AV18" s="457">
        <f>AV19+AV20</f>
        <v>0</v>
      </c>
      <c r="AW18" s="457">
        <f t="shared" si="26"/>
        <v>0</v>
      </c>
      <c r="AX18" s="457">
        <f t="shared" si="26"/>
        <v>0</v>
      </c>
      <c r="AY18" s="457">
        <f>AY19+AY20</f>
        <v>0</v>
      </c>
      <c r="AZ18" s="457">
        <f>AZ19+AZ20</f>
        <v>0</v>
      </c>
      <c r="BA18" s="457">
        <f>BA19+BA20</f>
        <v>0</v>
      </c>
      <c r="BB18" s="457">
        <f t="shared" si="26"/>
        <v>0</v>
      </c>
      <c r="BC18" s="457">
        <f t="shared" si="26"/>
        <v>0</v>
      </c>
      <c r="BD18" s="457">
        <f t="shared" si="26"/>
        <v>0</v>
      </c>
      <c r="BE18" s="457">
        <f t="shared" si="26"/>
        <v>0</v>
      </c>
      <c r="BF18" s="457">
        <f t="shared" si="26"/>
        <v>0</v>
      </c>
      <c r="BG18" s="457">
        <f t="shared" si="26"/>
        <v>0</v>
      </c>
      <c r="BH18" s="457">
        <f t="shared" si="26"/>
        <v>0</v>
      </c>
      <c r="BI18" s="457">
        <f>BI19+BI20</f>
        <v>0</v>
      </c>
      <c r="BJ18" s="457">
        <f t="shared" si="26"/>
        <v>0</v>
      </c>
      <c r="BK18" s="457">
        <f t="shared" si="26"/>
        <v>0</v>
      </c>
      <c r="BL18" s="457">
        <f t="shared" si="26"/>
        <v>0</v>
      </c>
      <c r="BM18" s="457">
        <f t="shared" si="26"/>
        <v>0</v>
      </c>
      <c r="BN18" s="457">
        <f>BN19+BN20</f>
        <v>0</v>
      </c>
      <c r="BO18" s="457">
        <f t="shared" si="26"/>
        <v>0</v>
      </c>
      <c r="BP18" s="457">
        <f t="shared" si="26"/>
        <v>0</v>
      </c>
      <c r="BQ18" s="457">
        <f t="shared" si="26"/>
        <v>0</v>
      </c>
      <c r="BR18" s="457">
        <f t="shared" si="26"/>
        <v>0</v>
      </c>
      <c r="BS18" s="457">
        <f t="shared" si="26"/>
        <v>0</v>
      </c>
      <c r="BT18" s="457">
        <f t="shared" si="26"/>
        <v>0</v>
      </c>
      <c r="BU18" s="457">
        <f t="shared" si="26"/>
        <v>0</v>
      </c>
      <c r="BV18" s="457">
        <f t="shared" si="26"/>
        <v>0</v>
      </c>
      <c r="BW18" s="457">
        <f t="shared" si="26"/>
        <v>0</v>
      </c>
      <c r="BX18" s="457">
        <f t="shared" si="26"/>
        <v>0</v>
      </c>
      <c r="BY18" s="457">
        <f t="shared" si="26"/>
        <v>0</v>
      </c>
      <c r="BZ18" s="457">
        <f aca="true" t="shared" si="27" ref="BZ18:CP18">BZ19+BZ20</f>
        <v>0</v>
      </c>
      <c r="CA18" s="457">
        <f>CA19+CA20</f>
        <v>0</v>
      </c>
      <c r="CB18" s="457">
        <f t="shared" si="27"/>
        <v>0</v>
      </c>
      <c r="CC18" s="457">
        <f t="shared" si="27"/>
        <v>0</v>
      </c>
      <c r="CD18" s="457">
        <f t="shared" si="27"/>
        <v>0</v>
      </c>
      <c r="CE18" s="457">
        <f>CE19+CE20</f>
        <v>0</v>
      </c>
      <c r="CF18" s="457">
        <f>CF19+CF20</f>
        <v>0</v>
      </c>
      <c r="CG18" s="457">
        <f t="shared" si="27"/>
        <v>0</v>
      </c>
      <c r="CH18" s="457">
        <f>CH19+CH20</f>
        <v>0</v>
      </c>
      <c r="CI18" s="457">
        <f>CI19+CI20</f>
        <v>0</v>
      </c>
      <c r="CJ18" s="457">
        <f t="shared" si="27"/>
        <v>0</v>
      </c>
      <c r="CK18" s="457">
        <f t="shared" si="27"/>
        <v>0</v>
      </c>
      <c r="CL18" s="457">
        <f t="shared" si="27"/>
        <v>0</v>
      </c>
      <c r="CM18" s="457">
        <f t="shared" si="27"/>
        <v>0</v>
      </c>
      <c r="CN18" s="457">
        <f t="shared" si="27"/>
        <v>0</v>
      </c>
      <c r="CO18" s="457">
        <f t="shared" si="27"/>
        <v>0</v>
      </c>
      <c r="CP18" s="457">
        <f t="shared" si="27"/>
        <v>0</v>
      </c>
      <c r="CQ18" s="457">
        <f>CQ19+CQ20</f>
        <v>0</v>
      </c>
      <c r="CR18" s="453" t="s">
        <v>252</v>
      </c>
      <c r="CS18" s="457">
        <f>CS19+CS20</f>
        <v>6779604828</v>
      </c>
      <c r="CT18" s="457">
        <f>CT19+CT20</f>
        <v>0</v>
      </c>
      <c r="CU18" s="457">
        <f aca="true" t="shared" si="28" ref="CU18:FJ18">CU19+CU20</f>
        <v>0</v>
      </c>
      <c r="CV18" s="457">
        <f>CV19+CV20</f>
        <v>0</v>
      </c>
      <c r="CW18" s="457">
        <f>CW19+CW20</f>
        <v>0</v>
      </c>
      <c r="CX18" s="457">
        <f>CX19+CX20</f>
        <v>0</v>
      </c>
      <c r="CY18" s="457">
        <f t="shared" si="28"/>
        <v>0</v>
      </c>
      <c r="CZ18" s="457">
        <f t="shared" si="28"/>
        <v>6779604828</v>
      </c>
      <c r="DA18" s="457">
        <f t="shared" si="28"/>
        <v>0</v>
      </c>
      <c r="DB18" s="457">
        <f>DB19+DB20</f>
        <v>0</v>
      </c>
      <c r="DC18" s="457">
        <f t="shared" si="28"/>
        <v>0</v>
      </c>
      <c r="DD18" s="457">
        <f t="shared" si="28"/>
        <v>0</v>
      </c>
      <c r="DE18" s="457">
        <f t="shared" si="28"/>
        <v>0</v>
      </c>
      <c r="DF18" s="457">
        <f t="shared" si="28"/>
        <v>0</v>
      </c>
      <c r="DG18" s="457">
        <f t="shared" si="28"/>
        <v>0</v>
      </c>
      <c r="DH18" s="457">
        <f t="shared" si="28"/>
        <v>0</v>
      </c>
      <c r="DI18" s="457">
        <f>DI19+DI20</f>
        <v>0</v>
      </c>
      <c r="DJ18" s="457">
        <f t="shared" si="28"/>
        <v>20000000</v>
      </c>
      <c r="DK18" s="457">
        <f t="shared" si="28"/>
        <v>200000000</v>
      </c>
      <c r="DL18" s="457">
        <f>DL19+DL20</f>
        <v>0</v>
      </c>
      <c r="DM18" s="457">
        <f>DM19+DM20</f>
        <v>0</v>
      </c>
      <c r="DN18" s="457">
        <f t="shared" si="28"/>
        <v>0</v>
      </c>
      <c r="DO18" s="457">
        <f t="shared" si="28"/>
        <v>0</v>
      </c>
      <c r="DP18" s="457">
        <f t="shared" si="28"/>
        <v>0</v>
      </c>
      <c r="DQ18" s="457">
        <f t="shared" si="28"/>
        <v>0</v>
      </c>
      <c r="DR18" s="457">
        <f t="shared" si="28"/>
        <v>0</v>
      </c>
      <c r="DS18" s="457">
        <f t="shared" si="28"/>
        <v>0</v>
      </c>
      <c r="DT18" s="457">
        <f t="shared" si="28"/>
        <v>0</v>
      </c>
      <c r="DU18" s="457">
        <f t="shared" si="28"/>
        <v>0</v>
      </c>
      <c r="DV18" s="457">
        <f t="shared" si="28"/>
        <v>0</v>
      </c>
      <c r="DW18" s="457">
        <f>DW19+DW20</f>
        <v>0</v>
      </c>
      <c r="DX18" s="457">
        <f t="shared" si="28"/>
        <v>0</v>
      </c>
      <c r="DY18" s="457">
        <f t="shared" si="28"/>
        <v>0</v>
      </c>
      <c r="DZ18" s="457">
        <f t="shared" si="28"/>
        <v>0</v>
      </c>
      <c r="EA18" s="457">
        <f t="shared" si="28"/>
        <v>0</v>
      </c>
      <c r="EB18" s="457">
        <f t="shared" si="28"/>
        <v>0</v>
      </c>
      <c r="EC18" s="457">
        <f t="shared" si="28"/>
        <v>0</v>
      </c>
      <c r="ED18" s="457">
        <f t="shared" si="28"/>
        <v>0</v>
      </c>
      <c r="EE18" s="457">
        <f t="shared" si="28"/>
        <v>0</v>
      </c>
      <c r="EF18" s="457">
        <f t="shared" si="28"/>
        <v>0</v>
      </c>
      <c r="EG18" s="457">
        <f>EG19+EG20</f>
        <v>0</v>
      </c>
      <c r="EH18" s="457">
        <f>EH19+EH20</f>
        <v>0</v>
      </c>
      <c r="EI18" s="457">
        <f t="shared" si="28"/>
        <v>0</v>
      </c>
      <c r="EJ18" s="457">
        <f t="shared" si="28"/>
        <v>0</v>
      </c>
      <c r="EK18" s="457">
        <f t="shared" si="28"/>
        <v>6559604828</v>
      </c>
      <c r="EL18" s="457">
        <f>EL19+EL20</f>
        <v>0</v>
      </c>
      <c r="EM18" s="457">
        <f t="shared" si="28"/>
        <v>0</v>
      </c>
      <c r="EN18" s="457">
        <f t="shared" si="28"/>
        <v>0</v>
      </c>
      <c r="EO18" s="457">
        <f t="shared" si="28"/>
        <v>0</v>
      </c>
      <c r="EP18" s="457">
        <f t="shared" si="28"/>
        <v>0</v>
      </c>
      <c r="EQ18" s="457">
        <f t="shared" si="28"/>
        <v>0</v>
      </c>
      <c r="ER18" s="457">
        <f t="shared" si="28"/>
        <v>0</v>
      </c>
      <c r="ES18" s="457">
        <f t="shared" si="28"/>
        <v>0</v>
      </c>
      <c r="ET18" s="457">
        <f t="shared" si="28"/>
        <v>0</v>
      </c>
      <c r="EU18" s="457">
        <f t="shared" si="28"/>
        <v>0</v>
      </c>
      <c r="EV18" s="457">
        <f t="shared" si="28"/>
        <v>0</v>
      </c>
      <c r="EW18" s="457">
        <f t="shared" si="28"/>
        <v>0</v>
      </c>
      <c r="EX18" s="457">
        <f t="shared" si="28"/>
        <v>0</v>
      </c>
      <c r="EY18" s="457">
        <f>EY19+EY20</f>
        <v>0</v>
      </c>
      <c r="EZ18" s="457">
        <f t="shared" si="28"/>
        <v>0</v>
      </c>
      <c r="FA18" s="457">
        <f t="shared" si="28"/>
        <v>0</v>
      </c>
      <c r="FB18" s="457">
        <f t="shared" si="28"/>
        <v>0</v>
      </c>
      <c r="FC18" s="457">
        <f t="shared" si="28"/>
        <v>0</v>
      </c>
      <c r="FD18" s="457">
        <f>FD19+FD20</f>
        <v>0</v>
      </c>
      <c r="FE18" s="457">
        <f t="shared" si="28"/>
        <v>0</v>
      </c>
      <c r="FF18" s="457">
        <f t="shared" si="28"/>
        <v>0</v>
      </c>
      <c r="FG18" s="457">
        <f t="shared" si="28"/>
        <v>0</v>
      </c>
      <c r="FH18" s="457">
        <f t="shared" si="28"/>
        <v>0</v>
      </c>
      <c r="FI18" s="457">
        <f t="shared" si="28"/>
        <v>0</v>
      </c>
      <c r="FJ18" s="457">
        <f t="shared" si="28"/>
        <v>0</v>
      </c>
      <c r="FK18" s="457">
        <f aca="true" t="shared" si="29" ref="FK18:GF18">FK19+FK20</f>
        <v>0</v>
      </c>
      <c r="FL18" s="457">
        <f t="shared" si="29"/>
        <v>0</v>
      </c>
      <c r="FM18" s="457">
        <f t="shared" si="29"/>
        <v>0</v>
      </c>
      <c r="FN18" s="457">
        <f t="shared" si="29"/>
        <v>0</v>
      </c>
      <c r="FO18" s="457">
        <f t="shared" si="29"/>
        <v>0</v>
      </c>
      <c r="FP18" s="457">
        <f t="shared" si="29"/>
        <v>0</v>
      </c>
      <c r="FQ18" s="457">
        <f>FQ19+FQ20</f>
        <v>0</v>
      </c>
      <c r="FR18" s="457">
        <f t="shared" si="29"/>
        <v>0</v>
      </c>
      <c r="FS18" s="457">
        <f t="shared" si="29"/>
        <v>0</v>
      </c>
      <c r="FT18" s="457">
        <f t="shared" si="29"/>
        <v>0</v>
      </c>
      <c r="FU18" s="457">
        <f t="shared" si="29"/>
        <v>0</v>
      </c>
      <c r="FV18" s="457">
        <f t="shared" si="29"/>
        <v>0</v>
      </c>
      <c r="FW18" s="457">
        <f t="shared" si="29"/>
        <v>0</v>
      </c>
      <c r="FX18" s="457">
        <f>FX19+FX20</f>
        <v>0</v>
      </c>
      <c r="FY18" s="457"/>
      <c r="FZ18" s="457">
        <f t="shared" si="29"/>
        <v>0</v>
      </c>
      <c r="GA18" s="457">
        <f t="shared" si="29"/>
        <v>0</v>
      </c>
      <c r="GB18" s="457">
        <f t="shared" si="29"/>
        <v>0</v>
      </c>
      <c r="GC18" s="457">
        <f t="shared" si="29"/>
        <v>0</v>
      </c>
      <c r="GD18" s="457">
        <f t="shared" si="29"/>
        <v>0</v>
      </c>
      <c r="GE18" s="457">
        <f t="shared" si="29"/>
        <v>0</v>
      </c>
      <c r="GF18" s="457">
        <f t="shared" si="29"/>
        <v>0</v>
      </c>
      <c r="GG18" s="457">
        <f>GG19+GG20</f>
        <v>0</v>
      </c>
      <c r="GH18" s="457">
        <f>GH19+GH20</f>
        <v>0</v>
      </c>
      <c r="GI18" s="453" t="s">
        <v>252</v>
      </c>
      <c r="GJ18" s="455">
        <f>CS18/C18</f>
        <v>1</v>
      </c>
      <c r="GK18" s="455"/>
      <c r="GL18" s="455">
        <f>CZ18/J18</f>
        <v>1</v>
      </c>
      <c r="GM18" s="455"/>
      <c r="GN18" s="455"/>
    </row>
    <row r="19" spans="1:196" s="456" customFormat="1" ht="15" customHeight="1" hidden="1">
      <c r="A19" s="452"/>
      <c r="B19" s="453" t="s">
        <v>250</v>
      </c>
      <c r="C19" s="457">
        <f>D19+J19+AY19+CD19</f>
        <v>0</v>
      </c>
      <c r="D19" s="457">
        <f>SUM(E19:I19)</f>
        <v>0</v>
      </c>
      <c r="E19" s="457"/>
      <c r="F19" s="457"/>
      <c r="G19" s="457"/>
      <c r="H19" s="457"/>
      <c r="I19" s="457"/>
      <c r="J19" s="457">
        <f>SUM(K19:AX19)</f>
        <v>0</v>
      </c>
      <c r="K19" s="457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7"/>
      <c r="AD19" s="457"/>
      <c r="AE19" s="457"/>
      <c r="AF19" s="457"/>
      <c r="AG19" s="457"/>
      <c r="AH19" s="457"/>
      <c r="AI19" s="457"/>
      <c r="AJ19" s="457"/>
      <c r="AK19" s="457"/>
      <c r="AL19" s="457"/>
      <c r="AM19" s="457"/>
      <c r="AN19" s="457"/>
      <c r="AO19" s="457"/>
      <c r="AP19" s="457"/>
      <c r="AQ19" s="457"/>
      <c r="AR19" s="457"/>
      <c r="AS19" s="457"/>
      <c r="AT19" s="457"/>
      <c r="AU19" s="457"/>
      <c r="AV19" s="457"/>
      <c r="AW19" s="457"/>
      <c r="AX19" s="457"/>
      <c r="AY19" s="457">
        <f>SUM(AZ19:BA19)</f>
        <v>0</v>
      </c>
      <c r="AZ19" s="457">
        <f>SUM(BB19:BI19)+SUM(BQ19:BX19)</f>
        <v>0</v>
      </c>
      <c r="BA19" s="457">
        <f>SUM(BJ19:BP19)+SUM(BY19:CC19)</f>
        <v>0</v>
      </c>
      <c r="BB19" s="457"/>
      <c r="BC19" s="457"/>
      <c r="BD19" s="457"/>
      <c r="BE19" s="457"/>
      <c r="BF19" s="457"/>
      <c r="BG19" s="457"/>
      <c r="BH19" s="457"/>
      <c r="BI19" s="457"/>
      <c r="BJ19" s="457"/>
      <c r="BK19" s="457"/>
      <c r="BL19" s="457"/>
      <c r="BM19" s="457"/>
      <c r="BN19" s="457"/>
      <c r="BO19" s="457"/>
      <c r="BP19" s="457"/>
      <c r="BQ19" s="457"/>
      <c r="BR19" s="457"/>
      <c r="BS19" s="457"/>
      <c r="BT19" s="457"/>
      <c r="BU19" s="457"/>
      <c r="BV19" s="457"/>
      <c r="BW19" s="457"/>
      <c r="BX19" s="457"/>
      <c r="BY19" s="457"/>
      <c r="BZ19" s="457"/>
      <c r="CA19" s="457"/>
      <c r="CB19" s="457"/>
      <c r="CC19" s="457"/>
      <c r="CD19" s="457">
        <f>SUM(CE19:CF19)</f>
        <v>0</v>
      </c>
      <c r="CE19" s="457">
        <f>SUM(CG19:CI19)</f>
        <v>0</v>
      </c>
      <c r="CF19" s="457">
        <f>SUM(CJ19:CQ19)</f>
        <v>0</v>
      </c>
      <c r="CG19" s="457"/>
      <c r="CH19" s="457"/>
      <c r="CI19" s="457"/>
      <c r="CJ19" s="457"/>
      <c r="CK19" s="457"/>
      <c r="CL19" s="457"/>
      <c r="CM19" s="457"/>
      <c r="CN19" s="457"/>
      <c r="CO19" s="457"/>
      <c r="CP19" s="457"/>
      <c r="CQ19" s="457"/>
      <c r="CR19" s="453" t="s">
        <v>250</v>
      </c>
      <c r="CS19" s="457">
        <f>CT19+CZ19+EO19+FT19+GH19</f>
        <v>0</v>
      </c>
      <c r="CT19" s="457">
        <f>SUM(CU19:CY19)</f>
        <v>0</v>
      </c>
      <c r="CU19" s="457"/>
      <c r="CV19" s="457"/>
      <c r="CW19" s="457"/>
      <c r="CX19" s="457"/>
      <c r="CY19" s="457"/>
      <c r="CZ19" s="457">
        <f>SUM(DA19:EN19)</f>
        <v>0</v>
      </c>
      <c r="DA19" s="457"/>
      <c r="DB19" s="457"/>
      <c r="DC19" s="457"/>
      <c r="DD19" s="457"/>
      <c r="DE19" s="457"/>
      <c r="DF19" s="457"/>
      <c r="DG19" s="457"/>
      <c r="DH19" s="457"/>
      <c r="DI19" s="457"/>
      <c r="DJ19" s="457"/>
      <c r="DK19" s="457"/>
      <c r="DL19" s="457"/>
      <c r="DM19" s="457"/>
      <c r="DN19" s="457"/>
      <c r="DO19" s="457"/>
      <c r="DP19" s="457"/>
      <c r="DQ19" s="457"/>
      <c r="DR19" s="457"/>
      <c r="DS19" s="457"/>
      <c r="DT19" s="457"/>
      <c r="DU19" s="457"/>
      <c r="DV19" s="457"/>
      <c r="DW19" s="457"/>
      <c r="DX19" s="457"/>
      <c r="DY19" s="457"/>
      <c r="DZ19" s="457"/>
      <c r="EA19" s="457"/>
      <c r="EB19" s="457"/>
      <c r="EC19" s="457"/>
      <c r="ED19" s="457"/>
      <c r="EE19" s="457"/>
      <c r="EF19" s="457"/>
      <c r="EG19" s="457"/>
      <c r="EH19" s="457"/>
      <c r="EI19" s="457"/>
      <c r="EJ19" s="457"/>
      <c r="EK19" s="457"/>
      <c r="EL19" s="457"/>
      <c r="EM19" s="457"/>
      <c r="EN19" s="457"/>
      <c r="EO19" s="457">
        <f>SUM(EP19:EQ19)</f>
        <v>0</v>
      </c>
      <c r="EP19" s="457">
        <f>SUM(ER19:EY19)+SUM(FG19:FN19)</f>
        <v>0</v>
      </c>
      <c r="EQ19" s="457">
        <f>SUM(EZ19:FF19)+SUM(FO19:FS19)</f>
        <v>0</v>
      </c>
      <c r="ER19" s="457"/>
      <c r="ES19" s="457"/>
      <c r="ET19" s="457"/>
      <c r="EU19" s="457"/>
      <c r="EV19" s="457"/>
      <c r="EW19" s="457"/>
      <c r="EX19" s="457"/>
      <c r="EY19" s="457"/>
      <c r="EZ19" s="457"/>
      <c r="FA19" s="457"/>
      <c r="FB19" s="457"/>
      <c r="FC19" s="457"/>
      <c r="FD19" s="457"/>
      <c r="FE19" s="457"/>
      <c r="FF19" s="457"/>
      <c r="FG19" s="457"/>
      <c r="FH19" s="457"/>
      <c r="FI19" s="457"/>
      <c r="FJ19" s="457"/>
      <c r="FK19" s="457"/>
      <c r="FL19" s="457"/>
      <c r="FM19" s="457"/>
      <c r="FN19" s="457"/>
      <c r="FO19" s="457"/>
      <c r="FP19" s="457"/>
      <c r="FQ19" s="457"/>
      <c r="FR19" s="457"/>
      <c r="FS19" s="457"/>
      <c r="FT19" s="457">
        <f>SUM(FU19:FV19)</f>
        <v>0</v>
      </c>
      <c r="FU19" s="457">
        <f>SUM(FW19:FY19)</f>
        <v>0</v>
      </c>
      <c r="FV19" s="457">
        <f>SUM(FZ19:GG19)</f>
        <v>0</v>
      </c>
      <c r="FW19" s="457"/>
      <c r="FX19" s="457"/>
      <c r="FY19" s="457"/>
      <c r="FZ19" s="457"/>
      <c r="GA19" s="457"/>
      <c r="GB19" s="457"/>
      <c r="GC19" s="457"/>
      <c r="GD19" s="457"/>
      <c r="GE19" s="457"/>
      <c r="GF19" s="457"/>
      <c r="GG19" s="457"/>
      <c r="GH19" s="457"/>
      <c r="GI19" s="453" t="s">
        <v>250</v>
      </c>
      <c r="GJ19" s="455"/>
      <c r="GK19" s="455"/>
      <c r="GL19" s="455"/>
      <c r="GM19" s="455"/>
      <c r="GN19" s="455"/>
    </row>
    <row r="20" spans="1:196" s="456" customFormat="1" ht="15" customHeight="1" hidden="1">
      <c r="A20" s="452"/>
      <c r="B20" s="453" t="s">
        <v>251</v>
      </c>
      <c r="C20" s="457">
        <f>D20+J20+AY20+CD20</f>
        <v>6779604828</v>
      </c>
      <c r="D20" s="457">
        <f>SUM(E20:I20)</f>
        <v>0</v>
      </c>
      <c r="E20" s="457"/>
      <c r="F20" s="457"/>
      <c r="G20" s="457"/>
      <c r="H20" s="457"/>
      <c r="I20" s="457"/>
      <c r="J20" s="457">
        <f>SUM(K20:AX20)</f>
        <v>6779604828</v>
      </c>
      <c r="K20" s="457"/>
      <c r="L20" s="457"/>
      <c r="M20" s="457"/>
      <c r="N20" s="457"/>
      <c r="O20" s="457"/>
      <c r="P20" s="457"/>
      <c r="Q20" s="457"/>
      <c r="R20" s="457"/>
      <c r="S20" s="457"/>
      <c r="T20" s="457">
        <v>20000000</v>
      </c>
      <c r="U20" s="457">
        <v>200000000</v>
      </c>
      <c r="V20" s="457"/>
      <c r="W20" s="457"/>
      <c r="X20" s="457"/>
      <c r="Y20" s="457"/>
      <c r="Z20" s="457"/>
      <c r="AA20" s="457"/>
      <c r="AB20" s="457"/>
      <c r="AC20" s="457"/>
      <c r="AD20" s="457"/>
      <c r="AE20" s="457"/>
      <c r="AF20" s="457"/>
      <c r="AG20" s="457"/>
      <c r="AH20" s="457"/>
      <c r="AI20" s="457"/>
      <c r="AJ20" s="457"/>
      <c r="AK20" s="457"/>
      <c r="AL20" s="457"/>
      <c r="AM20" s="457"/>
      <c r="AN20" s="457"/>
      <c r="AO20" s="457"/>
      <c r="AP20" s="457"/>
      <c r="AQ20" s="457"/>
      <c r="AR20" s="457"/>
      <c r="AS20" s="457"/>
      <c r="AT20" s="457"/>
      <c r="AU20" s="457">
        <v>6559604828</v>
      </c>
      <c r="AV20" s="457"/>
      <c r="AW20" s="457"/>
      <c r="AX20" s="457"/>
      <c r="AY20" s="457">
        <f>SUM(AZ20:BA20)</f>
        <v>0</v>
      </c>
      <c r="AZ20" s="457">
        <f>SUM(BB20:BI20)+SUM(BQ20:BX20)</f>
        <v>0</v>
      </c>
      <c r="BA20" s="457">
        <f>SUM(BJ20:BP20)+SUM(BY20:CC20)</f>
        <v>0</v>
      </c>
      <c r="BB20" s="457"/>
      <c r="BC20" s="457"/>
      <c r="BD20" s="457"/>
      <c r="BE20" s="457"/>
      <c r="BF20" s="457"/>
      <c r="BG20" s="457"/>
      <c r="BH20" s="457"/>
      <c r="BI20" s="457"/>
      <c r="BJ20" s="457"/>
      <c r="BK20" s="457"/>
      <c r="BL20" s="457"/>
      <c r="BM20" s="457"/>
      <c r="BN20" s="457"/>
      <c r="BO20" s="457"/>
      <c r="BP20" s="457"/>
      <c r="BQ20" s="457"/>
      <c r="BR20" s="457"/>
      <c r="BS20" s="457"/>
      <c r="BT20" s="457"/>
      <c r="BU20" s="457"/>
      <c r="BV20" s="457"/>
      <c r="BW20" s="457"/>
      <c r="BX20" s="457"/>
      <c r="BY20" s="457"/>
      <c r="BZ20" s="457"/>
      <c r="CA20" s="457"/>
      <c r="CB20" s="457"/>
      <c r="CC20" s="457"/>
      <c r="CD20" s="457">
        <f>SUM(CE20:CF20)</f>
        <v>0</v>
      </c>
      <c r="CE20" s="457">
        <f>SUM(CG20:CI20)</f>
        <v>0</v>
      </c>
      <c r="CF20" s="457">
        <f>SUM(CJ20:CQ20)</f>
        <v>0</v>
      </c>
      <c r="CG20" s="457"/>
      <c r="CH20" s="457"/>
      <c r="CI20" s="457"/>
      <c r="CJ20" s="457"/>
      <c r="CK20" s="457"/>
      <c r="CL20" s="457"/>
      <c r="CM20" s="457"/>
      <c r="CN20" s="457"/>
      <c r="CO20" s="457"/>
      <c r="CP20" s="457"/>
      <c r="CQ20" s="457"/>
      <c r="CR20" s="453" t="s">
        <v>251</v>
      </c>
      <c r="CS20" s="457">
        <f>CT20+CZ20+EO20+FT20+GH20</f>
        <v>6779604828</v>
      </c>
      <c r="CT20" s="457">
        <f>SUM(CU20:CY20)</f>
        <v>0</v>
      </c>
      <c r="CU20" s="457"/>
      <c r="CV20" s="457"/>
      <c r="CW20" s="457"/>
      <c r="CX20" s="457"/>
      <c r="CY20" s="457"/>
      <c r="CZ20" s="457">
        <f>SUM(DA20:EN20)</f>
        <v>6779604828</v>
      </c>
      <c r="DA20" s="457"/>
      <c r="DB20" s="457"/>
      <c r="DC20" s="457"/>
      <c r="DD20" s="457"/>
      <c r="DE20" s="457"/>
      <c r="DF20" s="457"/>
      <c r="DG20" s="457"/>
      <c r="DH20" s="457"/>
      <c r="DI20" s="457"/>
      <c r="DJ20" s="457">
        <v>20000000</v>
      </c>
      <c r="DK20" s="457">
        <v>200000000</v>
      </c>
      <c r="DL20" s="457"/>
      <c r="DM20" s="457"/>
      <c r="DN20" s="457"/>
      <c r="DO20" s="457"/>
      <c r="DP20" s="457"/>
      <c r="DQ20" s="457"/>
      <c r="DR20" s="457"/>
      <c r="DS20" s="457"/>
      <c r="DT20" s="457"/>
      <c r="DU20" s="457"/>
      <c r="DV20" s="457"/>
      <c r="DW20" s="457"/>
      <c r="DX20" s="457"/>
      <c r="DY20" s="457"/>
      <c r="DZ20" s="457"/>
      <c r="EA20" s="457"/>
      <c r="EB20" s="457"/>
      <c r="EC20" s="457"/>
      <c r="ED20" s="457"/>
      <c r="EE20" s="457"/>
      <c r="EF20" s="457"/>
      <c r="EG20" s="457"/>
      <c r="EH20" s="457"/>
      <c r="EI20" s="457"/>
      <c r="EJ20" s="457"/>
      <c r="EK20" s="457">
        <v>6559604828</v>
      </c>
      <c r="EL20" s="457"/>
      <c r="EM20" s="457"/>
      <c r="EN20" s="457"/>
      <c r="EO20" s="457">
        <f>SUM(EP20:EQ20)</f>
        <v>0</v>
      </c>
      <c r="EP20" s="457">
        <f>SUM(ER20:EY20)+SUM(FG20:FN20)</f>
        <v>0</v>
      </c>
      <c r="EQ20" s="457">
        <f>SUM(EZ20:FF20)+SUM(FO20:FS20)</f>
        <v>0</v>
      </c>
      <c r="ER20" s="457"/>
      <c r="ES20" s="457"/>
      <c r="ET20" s="457"/>
      <c r="EU20" s="457"/>
      <c r="EV20" s="457"/>
      <c r="EW20" s="457"/>
      <c r="EX20" s="457"/>
      <c r="EY20" s="457"/>
      <c r="EZ20" s="457"/>
      <c r="FA20" s="457"/>
      <c r="FB20" s="457"/>
      <c r="FC20" s="457"/>
      <c r="FD20" s="457"/>
      <c r="FE20" s="457"/>
      <c r="FF20" s="457"/>
      <c r="FG20" s="457"/>
      <c r="FH20" s="457"/>
      <c r="FI20" s="457"/>
      <c r="FJ20" s="457"/>
      <c r="FK20" s="457"/>
      <c r="FL20" s="457"/>
      <c r="FM20" s="457"/>
      <c r="FN20" s="457"/>
      <c r="FO20" s="457"/>
      <c r="FP20" s="457"/>
      <c r="FQ20" s="457"/>
      <c r="FR20" s="457"/>
      <c r="FS20" s="457"/>
      <c r="FT20" s="457">
        <f>SUM(FU20:FV20)</f>
        <v>0</v>
      </c>
      <c r="FU20" s="457">
        <f>SUM(FW20:FY20)</f>
        <v>0</v>
      </c>
      <c r="FV20" s="457">
        <f>SUM(FZ20:GG20)</f>
        <v>0</v>
      </c>
      <c r="FW20" s="457"/>
      <c r="FX20" s="457"/>
      <c r="FY20" s="457"/>
      <c r="FZ20" s="457"/>
      <c r="GA20" s="457"/>
      <c r="GB20" s="457"/>
      <c r="GC20" s="457"/>
      <c r="GD20" s="457"/>
      <c r="GE20" s="457"/>
      <c r="GF20" s="457"/>
      <c r="GG20" s="457"/>
      <c r="GH20" s="457"/>
      <c r="GI20" s="453" t="s">
        <v>251</v>
      </c>
      <c r="GJ20" s="455">
        <f>CS20/C20</f>
        <v>1</v>
      </c>
      <c r="GK20" s="455"/>
      <c r="GL20" s="455">
        <f>CZ20/J20</f>
        <v>1</v>
      </c>
      <c r="GM20" s="455"/>
      <c r="GN20" s="455"/>
    </row>
    <row r="21" spans="1:196" s="456" customFormat="1" ht="15" customHeight="1">
      <c r="A21" s="452">
        <v>3</v>
      </c>
      <c r="B21" s="453" t="s">
        <v>253</v>
      </c>
      <c r="C21" s="457">
        <f aca="true" t="shared" si="30" ref="C21:H21">C22+C23</f>
        <v>3826883700</v>
      </c>
      <c r="D21" s="457">
        <f t="shared" si="30"/>
        <v>0</v>
      </c>
      <c r="E21" s="457">
        <f t="shared" si="30"/>
        <v>0</v>
      </c>
      <c r="F21" s="457">
        <f t="shared" si="30"/>
        <v>0</v>
      </c>
      <c r="G21" s="457">
        <f t="shared" si="30"/>
        <v>0</v>
      </c>
      <c r="H21" s="457">
        <f t="shared" si="30"/>
        <v>0</v>
      </c>
      <c r="I21" s="457">
        <f aca="true" t="shared" si="31" ref="I21:BY21">I22+I23</f>
        <v>0</v>
      </c>
      <c r="J21" s="457">
        <f>J22+J23</f>
        <v>3826883700</v>
      </c>
      <c r="K21" s="457">
        <f t="shared" si="31"/>
        <v>0</v>
      </c>
      <c r="L21" s="457">
        <f>L22+L23</f>
        <v>0</v>
      </c>
      <c r="M21" s="457">
        <f t="shared" si="31"/>
        <v>0</v>
      </c>
      <c r="N21" s="457">
        <f t="shared" si="31"/>
        <v>0</v>
      </c>
      <c r="O21" s="457">
        <f t="shared" si="31"/>
        <v>0</v>
      </c>
      <c r="P21" s="457">
        <f t="shared" si="31"/>
        <v>0</v>
      </c>
      <c r="Q21" s="457">
        <f t="shared" si="31"/>
        <v>0</v>
      </c>
      <c r="R21" s="457">
        <f t="shared" si="31"/>
        <v>0</v>
      </c>
      <c r="S21" s="457">
        <f>S22+S23</f>
        <v>0</v>
      </c>
      <c r="T21" s="457">
        <f t="shared" si="31"/>
        <v>62495700</v>
      </c>
      <c r="U21" s="457">
        <f t="shared" si="31"/>
        <v>0</v>
      </c>
      <c r="V21" s="457">
        <f>V22+V23</f>
        <v>0</v>
      </c>
      <c r="W21" s="457">
        <f>W22+W23</f>
        <v>0</v>
      </c>
      <c r="X21" s="457">
        <f t="shared" si="31"/>
        <v>0</v>
      </c>
      <c r="Y21" s="457">
        <f t="shared" si="31"/>
        <v>0</v>
      </c>
      <c r="Z21" s="457">
        <f t="shared" si="31"/>
        <v>0</v>
      </c>
      <c r="AA21" s="457">
        <f t="shared" si="31"/>
        <v>0</v>
      </c>
      <c r="AB21" s="457">
        <f t="shared" si="31"/>
        <v>0</v>
      </c>
      <c r="AC21" s="457">
        <f t="shared" si="31"/>
        <v>0</v>
      </c>
      <c r="AD21" s="457">
        <f t="shared" si="31"/>
        <v>0</v>
      </c>
      <c r="AE21" s="457">
        <f t="shared" si="31"/>
        <v>0</v>
      </c>
      <c r="AF21" s="457">
        <f t="shared" si="31"/>
        <v>0</v>
      </c>
      <c r="AG21" s="457">
        <f>AG22+AG23</f>
        <v>0</v>
      </c>
      <c r="AH21" s="457">
        <f t="shared" si="31"/>
        <v>0</v>
      </c>
      <c r="AI21" s="457">
        <f t="shared" si="31"/>
        <v>0</v>
      </c>
      <c r="AJ21" s="457">
        <f t="shared" si="31"/>
        <v>0</v>
      </c>
      <c r="AK21" s="457">
        <f t="shared" si="31"/>
        <v>0</v>
      </c>
      <c r="AL21" s="457">
        <f t="shared" si="31"/>
        <v>0</v>
      </c>
      <c r="AM21" s="457">
        <f t="shared" si="31"/>
        <v>0</v>
      </c>
      <c r="AN21" s="457">
        <f t="shared" si="31"/>
        <v>0</v>
      </c>
      <c r="AO21" s="457">
        <f t="shared" si="31"/>
        <v>0</v>
      </c>
      <c r="AP21" s="457">
        <f t="shared" si="31"/>
        <v>0</v>
      </c>
      <c r="AQ21" s="457">
        <f>AQ22+AQ23</f>
        <v>0</v>
      </c>
      <c r="AR21" s="457">
        <f>AR22+AR23</f>
        <v>0</v>
      </c>
      <c r="AS21" s="457">
        <f t="shared" si="31"/>
        <v>0</v>
      </c>
      <c r="AT21" s="457">
        <f t="shared" si="31"/>
        <v>0</v>
      </c>
      <c r="AU21" s="457">
        <f t="shared" si="31"/>
        <v>3668468000</v>
      </c>
      <c r="AV21" s="457">
        <f>AV22+AV23</f>
        <v>95920000</v>
      </c>
      <c r="AW21" s="457">
        <f t="shared" si="31"/>
        <v>0</v>
      </c>
      <c r="AX21" s="457">
        <f t="shared" si="31"/>
        <v>0</v>
      </c>
      <c r="AY21" s="457">
        <f>AY22+AY23</f>
        <v>0</v>
      </c>
      <c r="AZ21" s="457">
        <f>AZ22+AZ23</f>
        <v>0</v>
      </c>
      <c r="BA21" s="457">
        <f>BA22+BA23</f>
        <v>0</v>
      </c>
      <c r="BB21" s="457">
        <f t="shared" si="31"/>
        <v>0</v>
      </c>
      <c r="BC21" s="457">
        <f t="shared" si="31"/>
        <v>0</v>
      </c>
      <c r="BD21" s="457">
        <f t="shared" si="31"/>
        <v>0</v>
      </c>
      <c r="BE21" s="457">
        <f t="shared" si="31"/>
        <v>0</v>
      </c>
      <c r="BF21" s="457">
        <f t="shared" si="31"/>
        <v>0</v>
      </c>
      <c r="BG21" s="457">
        <f t="shared" si="31"/>
        <v>0</v>
      </c>
      <c r="BH21" s="457">
        <f t="shared" si="31"/>
        <v>0</v>
      </c>
      <c r="BI21" s="457">
        <f>BI22+BI23</f>
        <v>0</v>
      </c>
      <c r="BJ21" s="457">
        <f t="shared" si="31"/>
        <v>0</v>
      </c>
      <c r="BK21" s="457">
        <f t="shared" si="31"/>
        <v>0</v>
      </c>
      <c r="BL21" s="457">
        <f t="shared" si="31"/>
        <v>0</v>
      </c>
      <c r="BM21" s="457">
        <f t="shared" si="31"/>
        <v>0</v>
      </c>
      <c r="BN21" s="457">
        <f>BN22+BN23</f>
        <v>0</v>
      </c>
      <c r="BO21" s="457">
        <f t="shared" si="31"/>
        <v>0</v>
      </c>
      <c r="BP21" s="457">
        <f t="shared" si="31"/>
        <v>0</v>
      </c>
      <c r="BQ21" s="457">
        <f t="shared" si="31"/>
        <v>0</v>
      </c>
      <c r="BR21" s="457">
        <f t="shared" si="31"/>
        <v>0</v>
      </c>
      <c r="BS21" s="457">
        <f t="shared" si="31"/>
        <v>0</v>
      </c>
      <c r="BT21" s="457">
        <f t="shared" si="31"/>
        <v>0</v>
      </c>
      <c r="BU21" s="457">
        <f t="shared" si="31"/>
        <v>0</v>
      </c>
      <c r="BV21" s="457">
        <f t="shared" si="31"/>
        <v>0</v>
      </c>
      <c r="BW21" s="457">
        <f t="shared" si="31"/>
        <v>0</v>
      </c>
      <c r="BX21" s="457">
        <f t="shared" si="31"/>
        <v>0</v>
      </c>
      <c r="BY21" s="457">
        <f t="shared" si="31"/>
        <v>0</v>
      </c>
      <c r="BZ21" s="457">
        <f aca="true" t="shared" si="32" ref="BZ21:CP21">BZ22+BZ23</f>
        <v>0</v>
      </c>
      <c r="CA21" s="457">
        <f>CA22+CA23</f>
        <v>0</v>
      </c>
      <c r="CB21" s="457">
        <f t="shared" si="32"/>
        <v>0</v>
      </c>
      <c r="CC21" s="457">
        <f t="shared" si="32"/>
        <v>0</v>
      </c>
      <c r="CD21" s="457">
        <f t="shared" si="32"/>
        <v>0</v>
      </c>
      <c r="CE21" s="457">
        <f>CE22+CE23</f>
        <v>0</v>
      </c>
      <c r="CF21" s="457">
        <f>CF22+CF23</f>
        <v>0</v>
      </c>
      <c r="CG21" s="457">
        <f t="shared" si="32"/>
        <v>0</v>
      </c>
      <c r="CH21" s="457">
        <f>CH22+CH23</f>
        <v>0</v>
      </c>
      <c r="CI21" s="457">
        <f>CI22+CI23</f>
        <v>0</v>
      </c>
      <c r="CJ21" s="457">
        <f t="shared" si="32"/>
        <v>0</v>
      </c>
      <c r="CK21" s="457">
        <f t="shared" si="32"/>
        <v>0</v>
      </c>
      <c r="CL21" s="457">
        <f t="shared" si="32"/>
        <v>0</v>
      </c>
      <c r="CM21" s="457">
        <f t="shared" si="32"/>
        <v>0</v>
      </c>
      <c r="CN21" s="457">
        <f t="shared" si="32"/>
        <v>0</v>
      </c>
      <c r="CO21" s="457">
        <f t="shared" si="32"/>
        <v>0</v>
      </c>
      <c r="CP21" s="457">
        <f t="shared" si="32"/>
        <v>0</v>
      </c>
      <c r="CQ21" s="457">
        <f>CQ22+CQ23</f>
        <v>0</v>
      </c>
      <c r="CR21" s="453" t="s">
        <v>253</v>
      </c>
      <c r="CS21" s="457">
        <f aca="true" t="shared" si="33" ref="CS21:FI21">CS22+CS23</f>
        <v>3826001900</v>
      </c>
      <c r="CT21" s="457">
        <f t="shared" si="33"/>
        <v>0</v>
      </c>
      <c r="CU21" s="457">
        <f t="shared" si="33"/>
        <v>0</v>
      </c>
      <c r="CV21" s="457">
        <f>CV22+CV23</f>
        <v>0</v>
      </c>
      <c r="CW21" s="457">
        <f>CW22+CW23</f>
        <v>0</v>
      </c>
      <c r="CX21" s="457">
        <f>CX22+CX23</f>
        <v>0</v>
      </c>
      <c r="CY21" s="457">
        <f t="shared" si="33"/>
        <v>0</v>
      </c>
      <c r="CZ21" s="457">
        <f t="shared" si="33"/>
        <v>3826001900</v>
      </c>
      <c r="DA21" s="457">
        <f t="shared" si="33"/>
        <v>0</v>
      </c>
      <c r="DB21" s="457">
        <f>DB22+DB23</f>
        <v>0</v>
      </c>
      <c r="DC21" s="457">
        <f t="shared" si="33"/>
        <v>0</v>
      </c>
      <c r="DD21" s="457">
        <f t="shared" si="33"/>
        <v>0</v>
      </c>
      <c r="DE21" s="457">
        <f t="shared" si="33"/>
        <v>0</v>
      </c>
      <c r="DF21" s="457">
        <f t="shared" si="33"/>
        <v>0</v>
      </c>
      <c r="DG21" s="457">
        <f t="shared" si="33"/>
        <v>0</v>
      </c>
      <c r="DH21" s="457">
        <f t="shared" si="33"/>
        <v>0</v>
      </c>
      <c r="DI21" s="457">
        <f>DI22+DI23</f>
        <v>0</v>
      </c>
      <c r="DJ21" s="457">
        <f t="shared" si="33"/>
        <v>62495700</v>
      </c>
      <c r="DK21" s="457">
        <f t="shared" si="33"/>
        <v>0</v>
      </c>
      <c r="DL21" s="457">
        <f>DL22+DL23</f>
        <v>0</v>
      </c>
      <c r="DM21" s="457">
        <f>DM22+DM23</f>
        <v>0</v>
      </c>
      <c r="DN21" s="457">
        <f t="shared" si="33"/>
        <v>0</v>
      </c>
      <c r="DO21" s="457">
        <f t="shared" si="33"/>
        <v>0</v>
      </c>
      <c r="DP21" s="457">
        <f t="shared" si="33"/>
        <v>0</v>
      </c>
      <c r="DQ21" s="457">
        <f t="shared" si="33"/>
        <v>0</v>
      </c>
      <c r="DR21" s="457">
        <f t="shared" si="33"/>
        <v>0</v>
      </c>
      <c r="DS21" s="457">
        <f t="shared" si="33"/>
        <v>0</v>
      </c>
      <c r="DT21" s="457">
        <f t="shared" si="33"/>
        <v>0</v>
      </c>
      <c r="DU21" s="457">
        <f t="shared" si="33"/>
        <v>0</v>
      </c>
      <c r="DV21" s="457">
        <f t="shared" si="33"/>
        <v>0</v>
      </c>
      <c r="DW21" s="457">
        <f>DW22+DW23</f>
        <v>0</v>
      </c>
      <c r="DX21" s="457">
        <f t="shared" si="33"/>
        <v>0</v>
      </c>
      <c r="DY21" s="457">
        <f t="shared" si="33"/>
        <v>0</v>
      </c>
      <c r="DZ21" s="457">
        <f t="shared" si="33"/>
        <v>0</v>
      </c>
      <c r="EA21" s="457">
        <f t="shared" si="33"/>
        <v>0</v>
      </c>
      <c r="EB21" s="457">
        <f t="shared" si="33"/>
        <v>0</v>
      </c>
      <c r="EC21" s="457">
        <f t="shared" si="33"/>
        <v>0</v>
      </c>
      <c r="ED21" s="457">
        <f t="shared" si="33"/>
        <v>0</v>
      </c>
      <c r="EE21" s="457">
        <f t="shared" si="33"/>
        <v>0</v>
      </c>
      <c r="EF21" s="457">
        <f t="shared" si="33"/>
        <v>0</v>
      </c>
      <c r="EG21" s="457">
        <f>EG22+EG23</f>
        <v>0</v>
      </c>
      <c r="EH21" s="457">
        <f>EH22+EH23</f>
        <v>0</v>
      </c>
      <c r="EI21" s="457">
        <f t="shared" si="33"/>
        <v>0</v>
      </c>
      <c r="EJ21" s="457">
        <f t="shared" si="33"/>
        <v>0</v>
      </c>
      <c r="EK21" s="457">
        <f t="shared" si="33"/>
        <v>3667751200</v>
      </c>
      <c r="EL21" s="457">
        <f>EL22+EL23</f>
        <v>95755000</v>
      </c>
      <c r="EM21" s="457">
        <f t="shared" si="33"/>
        <v>0</v>
      </c>
      <c r="EN21" s="457">
        <f t="shared" si="33"/>
        <v>0</v>
      </c>
      <c r="EO21" s="457">
        <f t="shared" si="33"/>
        <v>0</v>
      </c>
      <c r="EP21" s="457">
        <f t="shared" si="33"/>
        <v>0</v>
      </c>
      <c r="EQ21" s="457">
        <f t="shared" si="33"/>
        <v>0</v>
      </c>
      <c r="ER21" s="457">
        <f t="shared" si="33"/>
        <v>0</v>
      </c>
      <c r="ES21" s="457">
        <f t="shared" si="33"/>
        <v>0</v>
      </c>
      <c r="ET21" s="457">
        <f t="shared" si="33"/>
        <v>0</v>
      </c>
      <c r="EU21" s="457">
        <f t="shared" si="33"/>
        <v>0</v>
      </c>
      <c r="EV21" s="457">
        <f t="shared" si="33"/>
        <v>0</v>
      </c>
      <c r="EW21" s="457">
        <f t="shared" si="33"/>
        <v>0</v>
      </c>
      <c r="EX21" s="457">
        <f t="shared" si="33"/>
        <v>0</v>
      </c>
      <c r="EY21" s="457">
        <f>EY22+EY23</f>
        <v>0</v>
      </c>
      <c r="EZ21" s="457">
        <f t="shared" si="33"/>
        <v>0</v>
      </c>
      <c r="FA21" s="457">
        <f t="shared" si="33"/>
        <v>0</v>
      </c>
      <c r="FB21" s="457">
        <f t="shared" si="33"/>
        <v>0</v>
      </c>
      <c r="FC21" s="457">
        <f t="shared" si="33"/>
        <v>0</v>
      </c>
      <c r="FD21" s="457">
        <f>FD22+FD23</f>
        <v>0</v>
      </c>
      <c r="FE21" s="457">
        <f t="shared" si="33"/>
        <v>0</v>
      </c>
      <c r="FF21" s="457">
        <f t="shared" si="33"/>
        <v>0</v>
      </c>
      <c r="FG21" s="457">
        <f t="shared" si="33"/>
        <v>0</v>
      </c>
      <c r="FH21" s="457">
        <f t="shared" si="33"/>
        <v>0</v>
      </c>
      <c r="FI21" s="457">
        <f t="shared" si="33"/>
        <v>0</v>
      </c>
      <c r="FJ21" s="457">
        <f aca="true" t="shared" si="34" ref="FJ21:GF21">FJ22+FJ23</f>
        <v>0</v>
      </c>
      <c r="FK21" s="457">
        <f t="shared" si="34"/>
        <v>0</v>
      </c>
      <c r="FL21" s="457">
        <f t="shared" si="34"/>
        <v>0</v>
      </c>
      <c r="FM21" s="457">
        <f t="shared" si="34"/>
        <v>0</v>
      </c>
      <c r="FN21" s="457">
        <f t="shared" si="34"/>
        <v>0</v>
      </c>
      <c r="FO21" s="457">
        <f t="shared" si="34"/>
        <v>0</v>
      </c>
      <c r="FP21" s="457">
        <f t="shared" si="34"/>
        <v>0</v>
      </c>
      <c r="FQ21" s="457">
        <f>FQ22+FQ23</f>
        <v>0</v>
      </c>
      <c r="FR21" s="457">
        <f t="shared" si="34"/>
        <v>0</v>
      </c>
      <c r="FS21" s="457">
        <f t="shared" si="34"/>
        <v>0</v>
      </c>
      <c r="FT21" s="457">
        <f t="shared" si="34"/>
        <v>0</v>
      </c>
      <c r="FU21" s="457">
        <f t="shared" si="34"/>
        <v>0</v>
      </c>
      <c r="FV21" s="457">
        <f t="shared" si="34"/>
        <v>0</v>
      </c>
      <c r="FW21" s="457">
        <f t="shared" si="34"/>
        <v>0</v>
      </c>
      <c r="FX21" s="457">
        <f>FX22+FX23</f>
        <v>0</v>
      </c>
      <c r="FY21" s="457"/>
      <c r="FZ21" s="457">
        <f t="shared" si="34"/>
        <v>0</v>
      </c>
      <c r="GA21" s="457">
        <f t="shared" si="34"/>
        <v>0</v>
      </c>
      <c r="GB21" s="457">
        <f t="shared" si="34"/>
        <v>0</v>
      </c>
      <c r="GC21" s="457">
        <f t="shared" si="34"/>
        <v>0</v>
      </c>
      <c r="GD21" s="457">
        <f t="shared" si="34"/>
        <v>0</v>
      </c>
      <c r="GE21" s="457">
        <f t="shared" si="34"/>
        <v>0</v>
      </c>
      <c r="GF21" s="457">
        <f t="shared" si="34"/>
        <v>0</v>
      </c>
      <c r="GG21" s="457">
        <f>GG22+GG23</f>
        <v>0</v>
      </c>
      <c r="GH21" s="457">
        <f>GH22+GH23</f>
        <v>0</v>
      </c>
      <c r="GI21" s="453" t="s">
        <v>253</v>
      </c>
      <c r="GJ21" s="455">
        <f>CS21/C21</f>
        <v>0.9997695775285776</v>
      </c>
      <c r="GK21" s="455"/>
      <c r="GL21" s="455">
        <f>CZ21/J21</f>
        <v>0.9997695775285776</v>
      </c>
      <c r="GM21" s="455"/>
      <c r="GN21" s="455"/>
    </row>
    <row r="22" spans="1:196" s="456" customFormat="1" ht="15" customHeight="1" hidden="1">
      <c r="A22" s="452"/>
      <c r="B22" s="453" t="s">
        <v>250</v>
      </c>
      <c r="C22" s="457">
        <f>D22+J22+AY22+CD22</f>
        <v>0</v>
      </c>
      <c r="D22" s="457">
        <f>SUM(E22:I22)</f>
        <v>0</v>
      </c>
      <c r="E22" s="457"/>
      <c r="F22" s="457"/>
      <c r="G22" s="457"/>
      <c r="H22" s="457"/>
      <c r="I22" s="457"/>
      <c r="J22" s="457">
        <f>SUM(K22:AX22)</f>
        <v>0</v>
      </c>
      <c r="K22" s="457"/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C22" s="457"/>
      <c r="AD22" s="457"/>
      <c r="AE22" s="457"/>
      <c r="AF22" s="457"/>
      <c r="AG22" s="457"/>
      <c r="AH22" s="457"/>
      <c r="AI22" s="457"/>
      <c r="AJ22" s="457"/>
      <c r="AK22" s="457"/>
      <c r="AL22" s="457"/>
      <c r="AM22" s="457"/>
      <c r="AN22" s="457"/>
      <c r="AO22" s="457"/>
      <c r="AP22" s="457"/>
      <c r="AQ22" s="457"/>
      <c r="AR22" s="457"/>
      <c r="AS22" s="457"/>
      <c r="AT22" s="457"/>
      <c r="AU22" s="457"/>
      <c r="AV22" s="457"/>
      <c r="AW22" s="457"/>
      <c r="AX22" s="457"/>
      <c r="AY22" s="457">
        <f>SUM(AZ22:BA22)</f>
        <v>0</v>
      </c>
      <c r="AZ22" s="457">
        <f>SUM(BB22:BI22)+SUM(BQ22:BX22)</f>
        <v>0</v>
      </c>
      <c r="BA22" s="457">
        <f>SUM(BJ22:BP22)+SUM(BY22:CC22)</f>
        <v>0</v>
      </c>
      <c r="BB22" s="457"/>
      <c r="BC22" s="457"/>
      <c r="BD22" s="457"/>
      <c r="BE22" s="457"/>
      <c r="BF22" s="457"/>
      <c r="BG22" s="457"/>
      <c r="BH22" s="457"/>
      <c r="BI22" s="457"/>
      <c r="BJ22" s="457"/>
      <c r="BK22" s="457"/>
      <c r="BL22" s="457"/>
      <c r="BM22" s="457"/>
      <c r="BN22" s="457"/>
      <c r="BO22" s="457"/>
      <c r="BP22" s="457"/>
      <c r="BQ22" s="457"/>
      <c r="BR22" s="457"/>
      <c r="BS22" s="457"/>
      <c r="BT22" s="457"/>
      <c r="BU22" s="457"/>
      <c r="BV22" s="457"/>
      <c r="BW22" s="457"/>
      <c r="BX22" s="457"/>
      <c r="BY22" s="457"/>
      <c r="BZ22" s="457"/>
      <c r="CA22" s="457"/>
      <c r="CB22" s="457"/>
      <c r="CC22" s="457"/>
      <c r="CD22" s="457">
        <f>SUM(CE22:CF22)</f>
        <v>0</v>
      </c>
      <c r="CE22" s="457">
        <f>SUM(CG22:CI22)</f>
        <v>0</v>
      </c>
      <c r="CF22" s="457">
        <f>SUM(CJ22:CQ22)</f>
        <v>0</v>
      </c>
      <c r="CG22" s="457"/>
      <c r="CH22" s="457"/>
      <c r="CI22" s="457"/>
      <c r="CJ22" s="457"/>
      <c r="CK22" s="457"/>
      <c r="CL22" s="457"/>
      <c r="CM22" s="457"/>
      <c r="CN22" s="457"/>
      <c r="CO22" s="457"/>
      <c r="CP22" s="457"/>
      <c r="CQ22" s="457"/>
      <c r="CR22" s="453" t="s">
        <v>250</v>
      </c>
      <c r="CS22" s="457">
        <f>CT22+CZ22+EO22+FT22+GH22</f>
        <v>0</v>
      </c>
      <c r="CT22" s="457">
        <f>SUM(CU22:CY22)</f>
        <v>0</v>
      </c>
      <c r="CU22" s="457"/>
      <c r="CV22" s="457"/>
      <c r="CW22" s="457"/>
      <c r="CX22" s="457"/>
      <c r="CY22" s="457"/>
      <c r="CZ22" s="457">
        <f>SUM(DA22:EN22)</f>
        <v>0</v>
      </c>
      <c r="DA22" s="457"/>
      <c r="DB22" s="457"/>
      <c r="DC22" s="457"/>
      <c r="DD22" s="457"/>
      <c r="DE22" s="457"/>
      <c r="DF22" s="457"/>
      <c r="DG22" s="457"/>
      <c r="DH22" s="457"/>
      <c r="DI22" s="457"/>
      <c r="DJ22" s="457"/>
      <c r="DK22" s="457"/>
      <c r="DL22" s="457"/>
      <c r="DM22" s="457"/>
      <c r="DN22" s="457"/>
      <c r="DO22" s="457"/>
      <c r="DP22" s="457"/>
      <c r="DQ22" s="457"/>
      <c r="DR22" s="457"/>
      <c r="DS22" s="457"/>
      <c r="DT22" s="457"/>
      <c r="DU22" s="457"/>
      <c r="DV22" s="457"/>
      <c r="DW22" s="457"/>
      <c r="DX22" s="457"/>
      <c r="DY22" s="457"/>
      <c r="DZ22" s="457"/>
      <c r="EA22" s="457"/>
      <c r="EB22" s="457"/>
      <c r="EC22" s="457"/>
      <c r="ED22" s="457"/>
      <c r="EE22" s="457"/>
      <c r="EF22" s="457"/>
      <c r="EG22" s="457"/>
      <c r="EH22" s="457"/>
      <c r="EI22" s="457"/>
      <c r="EJ22" s="457"/>
      <c r="EK22" s="457"/>
      <c r="EL22" s="457"/>
      <c r="EM22" s="457"/>
      <c r="EN22" s="457"/>
      <c r="EO22" s="457">
        <f>SUM(EP22:EQ22)</f>
        <v>0</v>
      </c>
      <c r="EP22" s="457">
        <f>SUM(ER22:EY22)+SUM(FG22:FN22)</f>
        <v>0</v>
      </c>
      <c r="EQ22" s="457">
        <f>SUM(EZ22:FF22)+SUM(FO22:FS22)</f>
        <v>0</v>
      </c>
      <c r="ER22" s="457"/>
      <c r="ES22" s="457"/>
      <c r="ET22" s="457"/>
      <c r="EU22" s="457"/>
      <c r="EV22" s="457"/>
      <c r="EW22" s="457"/>
      <c r="EX22" s="457"/>
      <c r="EY22" s="457"/>
      <c r="EZ22" s="457"/>
      <c r="FA22" s="457"/>
      <c r="FB22" s="457"/>
      <c r="FC22" s="457"/>
      <c r="FD22" s="457"/>
      <c r="FE22" s="457"/>
      <c r="FF22" s="457"/>
      <c r="FG22" s="457"/>
      <c r="FH22" s="457"/>
      <c r="FI22" s="457"/>
      <c r="FJ22" s="457"/>
      <c r="FK22" s="457"/>
      <c r="FL22" s="457"/>
      <c r="FM22" s="457"/>
      <c r="FN22" s="457"/>
      <c r="FO22" s="457"/>
      <c r="FP22" s="457"/>
      <c r="FQ22" s="457"/>
      <c r="FR22" s="457"/>
      <c r="FS22" s="457"/>
      <c r="FT22" s="457">
        <f>SUM(FU22:FV22)</f>
        <v>0</v>
      </c>
      <c r="FU22" s="457">
        <f>SUM(FW22:FY22)</f>
        <v>0</v>
      </c>
      <c r="FV22" s="457">
        <f>SUM(FZ22:GG22)</f>
        <v>0</v>
      </c>
      <c r="FW22" s="457"/>
      <c r="FX22" s="457"/>
      <c r="FY22" s="457"/>
      <c r="FZ22" s="457"/>
      <c r="GA22" s="457"/>
      <c r="GB22" s="457"/>
      <c r="GC22" s="457"/>
      <c r="GD22" s="457"/>
      <c r="GE22" s="457"/>
      <c r="GF22" s="457"/>
      <c r="GG22" s="457"/>
      <c r="GH22" s="457"/>
      <c r="GI22" s="453" t="s">
        <v>250</v>
      </c>
      <c r="GJ22" s="455"/>
      <c r="GK22" s="455"/>
      <c r="GL22" s="455"/>
      <c r="GM22" s="455"/>
      <c r="GN22" s="455"/>
    </row>
    <row r="23" spans="1:196" s="456" customFormat="1" ht="15" customHeight="1" hidden="1">
      <c r="A23" s="452"/>
      <c r="B23" s="453" t="s">
        <v>251</v>
      </c>
      <c r="C23" s="457">
        <f>D23+J23+AY23+CD23</f>
        <v>3826883700</v>
      </c>
      <c r="D23" s="457">
        <f>SUM(E23:I23)</f>
        <v>0</v>
      </c>
      <c r="E23" s="457"/>
      <c r="F23" s="457"/>
      <c r="G23" s="457"/>
      <c r="H23" s="457"/>
      <c r="I23" s="457"/>
      <c r="J23" s="457">
        <f>SUM(K23:AX23)</f>
        <v>3826883700</v>
      </c>
      <c r="K23" s="457"/>
      <c r="L23" s="457"/>
      <c r="M23" s="457"/>
      <c r="N23" s="457"/>
      <c r="O23" s="457"/>
      <c r="P23" s="457"/>
      <c r="Q23" s="457"/>
      <c r="R23" s="457"/>
      <c r="S23" s="457"/>
      <c r="T23" s="457">
        <f>13681500+25000000+16318500+10000000-2504300</f>
        <v>62495700</v>
      </c>
      <c r="U23" s="457"/>
      <c r="V23" s="457"/>
      <c r="W23" s="457"/>
      <c r="X23" s="457"/>
      <c r="Y23" s="457"/>
      <c r="Z23" s="457"/>
      <c r="AA23" s="457"/>
      <c r="AB23" s="457"/>
      <c r="AC23" s="457"/>
      <c r="AD23" s="457"/>
      <c r="AE23" s="457"/>
      <c r="AF23" s="457"/>
      <c r="AG23" s="457"/>
      <c r="AH23" s="457"/>
      <c r="AI23" s="457"/>
      <c r="AJ23" s="457"/>
      <c r="AK23" s="457"/>
      <c r="AL23" s="457"/>
      <c r="AM23" s="457"/>
      <c r="AN23" s="457"/>
      <c r="AO23" s="457"/>
      <c r="AP23" s="457"/>
      <c r="AQ23" s="457"/>
      <c r="AR23" s="457"/>
      <c r="AS23" s="457"/>
      <c r="AT23" s="457"/>
      <c r="AU23" s="457">
        <f>1040715000+604854000-75920000+705810000+922564000+470445000</f>
        <v>3668468000</v>
      </c>
      <c r="AV23" s="457">
        <f>80000000+15920000</f>
        <v>95920000</v>
      </c>
      <c r="AW23" s="457"/>
      <c r="AX23" s="457"/>
      <c r="AY23" s="457">
        <f>SUM(AZ23:BA23)</f>
        <v>0</v>
      </c>
      <c r="AZ23" s="457">
        <f>SUM(BB23:BI23)+SUM(BQ23:BX23)</f>
        <v>0</v>
      </c>
      <c r="BA23" s="457">
        <f>SUM(BJ23:BP23)+SUM(BY23:CC23)</f>
        <v>0</v>
      </c>
      <c r="BB23" s="457"/>
      <c r="BC23" s="457"/>
      <c r="BD23" s="457"/>
      <c r="BE23" s="457"/>
      <c r="BF23" s="457"/>
      <c r="BG23" s="457"/>
      <c r="BH23" s="457"/>
      <c r="BI23" s="457"/>
      <c r="BJ23" s="457"/>
      <c r="BK23" s="457"/>
      <c r="BL23" s="457"/>
      <c r="BM23" s="457"/>
      <c r="BN23" s="457"/>
      <c r="BO23" s="457"/>
      <c r="BP23" s="457"/>
      <c r="BQ23" s="457"/>
      <c r="BR23" s="457"/>
      <c r="BS23" s="457"/>
      <c r="BT23" s="457"/>
      <c r="BU23" s="457"/>
      <c r="BV23" s="457"/>
      <c r="BW23" s="457"/>
      <c r="BX23" s="457"/>
      <c r="BY23" s="457"/>
      <c r="BZ23" s="457"/>
      <c r="CA23" s="457"/>
      <c r="CB23" s="457"/>
      <c r="CC23" s="457"/>
      <c r="CD23" s="457">
        <f>SUM(CE23:CF23)</f>
        <v>0</v>
      </c>
      <c r="CE23" s="457">
        <f>SUM(CG23:CI23)</f>
        <v>0</v>
      </c>
      <c r="CF23" s="457">
        <f>SUM(CJ23:CQ23)</f>
        <v>0</v>
      </c>
      <c r="CG23" s="457"/>
      <c r="CH23" s="457"/>
      <c r="CI23" s="457"/>
      <c r="CJ23" s="457"/>
      <c r="CK23" s="457"/>
      <c r="CL23" s="457"/>
      <c r="CM23" s="457"/>
      <c r="CN23" s="457"/>
      <c r="CO23" s="457"/>
      <c r="CP23" s="457"/>
      <c r="CQ23" s="457"/>
      <c r="CR23" s="453" t="s">
        <v>251</v>
      </c>
      <c r="CS23" s="457">
        <f>CT23+CZ23+EO23+FT23+GH23</f>
        <v>3826001900</v>
      </c>
      <c r="CT23" s="457">
        <f>SUM(CU23:CY23)</f>
        <v>0</v>
      </c>
      <c r="CU23" s="457"/>
      <c r="CV23" s="457"/>
      <c r="CW23" s="457"/>
      <c r="CX23" s="457"/>
      <c r="CY23" s="457"/>
      <c r="CZ23" s="457">
        <f>SUM(DA23:EN23)</f>
        <v>3826001900</v>
      </c>
      <c r="DA23" s="457"/>
      <c r="DB23" s="457"/>
      <c r="DC23" s="457"/>
      <c r="DD23" s="457"/>
      <c r="DE23" s="457"/>
      <c r="DF23" s="457"/>
      <c r="DG23" s="457"/>
      <c r="DH23" s="457"/>
      <c r="DI23" s="457"/>
      <c r="DJ23" s="457">
        <f>13681500-357500+25000000-38600+16318500+10000000-2108200</f>
        <v>62495700</v>
      </c>
      <c r="DK23" s="457"/>
      <c r="DL23" s="457"/>
      <c r="DM23" s="457"/>
      <c r="DN23" s="457"/>
      <c r="DO23" s="457"/>
      <c r="DP23" s="457"/>
      <c r="DQ23" s="457"/>
      <c r="DR23" s="457"/>
      <c r="DS23" s="457"/>
      <c r="DT23" s="457"/>
      <c r="DU23" s="457"/>
      <c r="DV23" s="457"/>
      <c r="DW23" s="457"/>
      <c r="DX23" s="457"/>
      <c r="DY23" s="457"/>
      <c r="DZ23" s="457"/>
      <c r="EA23" s="457"/>
      <c r="EB23" s="457"/>
      <c r="EC23" s="457"/>
      <c r="ED23" s="457"/>
      <c r="EE23" s="457"/>
      <c r="EF23" s="457"/>
      <c r="EG23" s="457"/>
      <c r="EH23" s="457"/>
      <c r="EI23" s="457"/>
      <c r="EJ23" s="457"/>
      <c r="EK23" s="457">
        <f>1040715000+604854000-75920000+705810000+922564000-651000+470445000-65800</f>
        <v>3667751200</v>
      </c>
      <c r="EL23" s="457">
        <f>75920000+20000000-165000</f>
        <v>95755000</v>
      </c>
      <c r="EM23" s="457"/>
      <c r="EN23" s="457"/>
      <c r="EO23" s="457">
        <f>SUM(EP23:EQ23)</f>
        <v>0</v>
      </c>
      <c r="EP23" s="457">
        <f>SUM(ER23:EY23)+SUM(FG23:FN23)</f>
        <v>0</v>
      </c>
      <c r="EQ23" s="457">
        <f>SUM(EZ23:FF23)+SUM(FO23:FS23)</f>
        <v>0</v>
      </c>
      <c r="ER23" s="457"/>
      <c r="ES23" s="457"/>
      <c r="ET23" s="457"/>
      <c r="EU23" s="457"/>
      <c r="EV23" s="457"/>
      <c r="EW23" s="457"/>
      <c r="EX23" s="457"/>
      <c r="EY23" s="457"/>
      <c r="EZ23" s="457"/>
      <c r="FA23" s="457"/>
      <c r="FB23" s="457"/>
      <c r="FC23" s="457"/>
      <c r="FD23" s="457"/>
      <c r="FE23" s="457"/>
      <c r="FF23" s="457"/>
      <c r="FG23" s="457"/>
      <c r="FH23" s="457"/>
      <c r="FI23" s="457"/>
      <c r="FJ23" s="457"/>
      <c r="FK23" s="457"/>
      <c r="FL23" s="457"/>
      <c r="FM23" s="457"/>
      <c r="FN23" s="457"/>
      <c r="FO23" s="457"/>
      <c r="FP23" s="457"/>
      <c r="FQ23" s="457"/>
      <c r="FR23" s="457"/>
      <c r="FS23" s="457"/>
      <c r="FT23" s="457">
        <f>SUM(FU23:FV23)</f>
        <v>0</v>
      </c>
      <c r="FU23" s="457">
        <f>SUM(FW23:FY23)</f>
        <v>0</v>
      </c>
      <c r="FV23" s="457">
        <f>SUM(FZ23:GG23)</f>
        <v>0</v>
      </c>
      <c r="FW23" s="457"/>
      <c r="FX23" s="457"/>
      <c r="FY23" s="457"/>
      <c r="FZ23" s="457"/>
      <c r="GA23" s="457"/>
      <c r="GB23" s="457"/>
      <c r="GC23" s="457"/>
      <c r="GD23" s="457"/>
      <c r="GE23" s="457"/>
      <c r="GF23" s="457"/>
      <c r="GG23" s="457"/>
      <c r="GH23" s="457"/>
      <c r="GI23" s="453" t="s">
        <v>251</v>
      </c>
      <c r="GJ23" s="455">
        <f>CS23/C23</f>
        <v>0.9997695775285776</v>
      </c>
      <c r="GK23" s="455"/>
      <c r="GL23" s="455">
        <f>CZ23/J23</f>
        <v>0.9997695775285776</v>
      </c>
      <c r="GM23" s="455"/>
      <c r="GN23" s="455"/>
    </row>
    <row r="24" spans="1:196" s="456" customFormat="1" ht="15" customHeight="1">
      <c r="A24" s="452">
        <v>4</v>
      </c>
      <c r="B24" s="453" t="s">
        <v>254</v>
      </c>
      <c r="C24" s="457">
        <f aca="true" t="shared" si="35" ref="C24:H24">C25+C26</f>
        <v>9747196118</v>
      </c>
      <c r="D24" s="457">
        <f t="shared" si="35"/>
        <v>0</v>
      </c>
      <c r="E24" s="457">
        <f t="shared" si="35"/>
        <v>0</v>
      </c>
      <c r="F24" s="457">
        <f t="shared" si="35"/>
        <v>0</v>
      </c>
      <c r="G24" s="457">
        <f t="shared" si="35"/>
        <v>0</v>
      </c>
      <c r="H24" s="457">
        <f t="shared" si="35"/>
        <v>0</v>
      </c>
      <c r="I24" s="457">
        <f aca="true" t="shared" si="36" ref="I24:BY24">I25+I26</f>
        <v>0</v>
      </c>
      <c r="J24" s="457">
        <f>J25+J26</f>
        <v>9138196118</v>
      </c>
      <c r="K24" s="457">
        <f t="shared" si="36"/>
        <v>0</v>
      </c>
      <c r="L24" s="457">
        <f>L25+L26</f>
        <v>0</v>
      </c>
      <c r="M24" s="457">
        <f t="shared" si="36"/>
        <v>0</v>
      </c>
      <c r="N24" s="457">
        <f t="shared" si="36"/>
        <v>0</v>
      </c>
      <c r="O24" s="457">
        <f t="shared" si="36"/>
        <v>0</v>
      </c>
      <c r="P24" s="457">
        <f t="shared" si="36"/>
        <v>0</v>
      </c>
      <c r="Q24" s="457">
        <f t="shared" si="36"/>
        <v>0</v>
      </c>
      <c r="R24" s="457">
        <f t="shared" si="36"/>
        <v>0</v>
      </c>
      <c r="S24" s="457">
        <f>S25+S26</f>
        <v>0</v>
      </c>
      <c r="T24" s="457">
        <f t="shared" si="36"/>
        <v>26646200</v>
      </c>
      <c r="U24" s="457">
        <f t="shared" si="36"/>
        <v>0</v>
      </c>
      <c r="V24" s="457">
        <f>V25+V26</f>
        <v>0</v>
      </c>
      <c r="W24" s="457">
        <f>W25+W26</f>
        <v>0</v>
      </c>
      <c r="X24" s="457">
        <f t="shared" si="36"/>
        <v>0</v>
      </c>
      <c r="Y24" s="457">
        <f t="shared" si="36"/>
        <v>0</v>
      </c>
      <c r="Z24" s="457">
        <f t="shared" si="36"/>
        <v>0</v>
      </c>
      <c r="AA24" s="457">
        <f t="shared" si="36"/>
        <v>0</v>
      </c>
      <c r="AB24" s="457">
        <f t="shared" si="36"/>
        <v>0</v>
      </c>
      <c r="AC24" s="457">
        <f t="shared" si="36"/>
        <v>0</v>
      </c>
      <c r="AD24" s="457">
        <f t="shared" si="36"/>
        <v>0</v>
      </c>
      <c r="AE24" s="457">
        <f t="shared" si="36"/>
        <v>0</v>
      </c>
      <c r="AF24" s="457">
        <f t="shared" si="36"/>
        <v>0</v>
      </c>
      <c r="AG24" s="457">
        <f>AG25+AG26</f>
        <v>0</v>
      </c>
      <c r="AH24" s="457">
        <f t="shared" si="36"/>
        <v>1861855850</v>
      </c>
      <c r="AI24" s="457">
        <f t="shared" si="36"/>
        <v>1728581000</v>
      </c>
      <c r="AJ24" s="457">
        <f t="shared" si="36"/>
        <v>1189640300</v>
      </c>
      <c r="AK24" s="457">
        <f t="shared" si="36"/>
        <v>2363074768</v>
      </c>
      <c r="AL24" s="457">
        <f t="shared" si="36"/>
        <v>700000000</v>
      </c>
      <c r="AM24" s="457">
        <f t="shared" si="36"/>
        <v>0</v>
      </c>
      <c r="AN24" s="457">
        <f t="shared" si="36"/>
        <v>0</v>
      </c>
      <c r="AO24" s="457">
        <f t="shared" si="36"/>
        <v>0</v>
      </c>
      <c r="AP24" s="457">
        <f t="shared" si="36"/>
        <v>0</v>
      </c>
      <c r="AQ24" s="457">
        <f>AQ25+AQ26</f>
        <v>93698000</v>
      </c>
      <c r="AR24" s="457">
        <f>AR25+AR26</f>
        <v>0</v>
      </c>
      <c r="AS24" s="457">
        <f t="shared" si="36"/>
        <v>0</v>
      </c>
      <c r="AT24" s="457">
        <f t="shared" si="36"/>
        <v>0</v>
      </c>
      <c r="AU24" s="457">
        <f t="shared" si="36"/>
        <v>1174700000</v>
      </c>
      <c r="AV24" s="457">
        <f>AV25+AV26</f>
        <v>0</v>
      </c>
      <c r="AW24" s="457">
        <f t="shared" si="36"/>
        <v>0</v>
      </c>
      <c r="AX24" s="457">
        <f t="shared" si="36"/>
        <v>0</v>
      </c>
      <c r="AY24" s="457">
        <f>AY25+AY26</f>
        <v>89000000</v>
      </c>
      <c r="AZ24" s="457">
        <f>AZ25+AZ26</f>
        <v>0</v>
      </c>
      <c r="BA24" s="457">
        <f>BA25+BA26</f>
        <v>89000000</v>
      </c>
      <c r="BB24" s="457">
        <f t="shared" si="36"/>
        <v>0</v>
      </c>
      <c r="BC24" s="457">
        <f t="shared" si="36"/>
        <v>0</v>
      </c>
      <c r="BD24" s="457">
        <f t="shared" si="36"/>
        <v>0</v>
      </c>
      <c r="BE24" s="457">
        <f t="shared" si="36"/>
        <v>0</v>
      </c>
      <c r="BF24" s="457">
        <f t="shared" si="36"/>
        <v>0</v>
      </c>
      <c r="BG24" s="457">
        <f t="shared" si="36"/>
        <v>0</v>
      </c>
      <c r="BH24" s="457">
        <f t="shared" si="36"/>
        <v>0</v>
      </c>
      <c r="BI24" s="457">
        <f>BI25+BI26</f>
        <v>0</v>
      </c>
      <c r="BJ24" s="457">
        <f t="shared" si="36"/>
        <v>0</v>
      </c>
      <c r="BK24" s="457">
        <f t="shared" si="36"/>
        <v>0</v>
      </c>
      <c r="BL24" s="457">
        <f t="shared" si="36"/>
        <v>0</v>
      </c>
      <c r="BM24" s="457">
        <f t="shared" si="36"/>
        <v>0</v>
      </c>
      <c r="BN24" s="457">
        <f>BN25+BN26</f>
        <v>0</v>
      </c>
      <c r="BO24" s="457">
        <f t="shared" si="36"/>
        <v>0</v>
      </c>
      <c r="BP24" s="457">
        <f t="shared" si="36"/>
        <v>0</v>
      </c>
      <c r="BQ24" s="457">
        <f t="shared" si="36"/>
        <v>0</v>
      </c>
      <c r="BR24" s="457">
        <f t="shared" si="36"/>
        <v>0</v>
      </c>
      <c r="BS24" s="457">
        <f t="shared" si="36"/>
        <v>0</v>
      </c>
      <c r="BT24" s="457">
        <f t="shared" si="36"/>
        <v>0</v>
      </c>
      <c r="BU24" s="457">
        <f t="shared" si="36"/>
        <v>0</v>
      </c>
      <c r="BV24" s="457">
        <f t="shared" si="36"/>
        <v>0</v>
      </c>
      <c r="BW24" s="457">
        <f t="shared" si="36"/>
        <v>0</v>
      </c>
      <c r="BX24" s="457">
        <f t="shared" si="36"/>
        <v>0</v>
      </c>
      <c r="BY24" s="457">
        <f t="shared" si="36"/>
        <v>0</v>
      </c>
      <c r="BZ24" s="457">
        <f aca="true" t="shared" si="37" ref="BZ24:CP24">BZ25+BZ26</f>
        <v>89000000</v>
      </c>
      <c r="CA24" s="457">
        <f>CA25+CA26</f>
        <v>0</v>
      </c>
      <c r="CB24" s="457">
        <f t="shared" si="37"/>
        <v>0</v>
      </c>
      <c r="CC24" s="457">
        <f t="shared" si="37"/>
        <v>0</v>
      </c>
      <c r="CD24" s="457">
        <f t="shared" si="37"/>
        <v>520000000</v>
      </c>
      <c r="CE24" s="457">
        <f>CE25+CE26</f>
        <v>0</v>
      </c>
      <c r="CF24" s="457">
        <f>CF25+CF26</f>
        <v>520000000</v>
      </c>
      <c r="CG24" s="457">
        <f t="shared" si="37"/>
        <v>0</v>
      </c>
      <c r="CH24" s="457">
        <f>CH25+CH26</f>
        <v>0</v>
      </c>
      <c r="CI24" s="457">
        <f>CI25+CI26</f>
        <v>0</v>
      </c>
      <c r="CJ24" s="457">
        <f t="shared" si="37"/>
        <v>520000000</v>
      </c>
      <c r="CK24" s="457">
        <f t="shared" si="37"/>
        <v>0</v>
      </c>
      <c r="CL24" s="457">
        <f t="shared" si="37"/>
        <v>0</v>
      </c>
      <c r="CM24" s="457">
        <f t="shared" si="37"/>
        <v>0</v>
      </c>
      <c r="CN24" s="457">
        <f t="shared" si="37"/>
        <v>0</v>
      </c>
      <c r="CO24" s="457">
        <f t="shared" si="37"/>
        <v>0</v>
      </c>
      <c r="CP24" s="457">
        <f t="shared" si="37"/>
        <v>0</v>
      </c>
      <c r="CQ24" s="457">
        <f>CQ25+CQ26</f>
        <v>0</v>
      </c>
      <c r="CR24" s="453" t="s">
        <v>254</v>
      </c>
      <c r="CS24" s="457">
        <f aca="true" t="shared" si="38" ref="CS24:FI24">CS25+CS26</f>
        <v>9727681118</v>
      </c>
      <c r="CT24" s="457">
        <f t="shared" si="38"/>
        <v>0</v>
      </c>
      <c r="CU24" s="457">
        <f t="shared" si="38"/>
        <v>0</v>
      </c>
      <c r="CV24" s="457">
        <f>CV25+CV26</f>
        <v>0</v>
      </c>
      <c r="CW24" s="457">
        <f>CW25+CW26</f>
        <v>0</v>
      </c>
      <c r="CX24" s="457">
        <f>CX25+CX26</f>
        <v>0</v>
      </c>
      <c r="CY24" s="457">
        <f t="shared" si="38"/>
        <v>0</v>
      </c>
      <c r="CZ24" s="457">
        <f t="shared" si="38"/>
        <v>9118681118</v>
      </c>
      <c r="DA24" s="457">
        <f t="shared" si="38"/>
        <v>0</v>
      </c>
      <c r="DB24" s="457">
        <f>DB25+DB26</f>
        <v>0</v>
      </c>
      <c r="DC24" s="457">
        <f t="shared" si="38"/>
        <v>0</v>
      </c>
      <c r="DD24" s="457">
        <f t="shared" si="38"/>
        <v>0</v>
      </c>
      <c r="DE24" s="457">
        <f t="shared" si="38"/>
        <v>0</v>
      </c>
      <c r="DF24" s="457">
        <f t="shared" si="38"/>
        <v>0</v>
      </c>
      <c r="DG24" s="457">
        <f t="shared" si="38"/>
        <v>0</v>
      </c>
      <c r="DH24" s="457">
        <f t="shared" si="38"/>
        <v>0</v>
      </c>
      <c r="DI24" s="457">
        <f>DI25+DI26</f>
        <v>0</v>
      </c>
      <c r="DJ24" s="457">
        <f t="shared" si="38"/>
        <v>26646200</v>
      </c>
      <c r="DK24" s="457">
        <f t="shared" si="38"/>
        <v>0</v>
      </c>
      <c r="DL24" s="457">
        <f>DL25+DL26</f>
        <v>0</v>
      </c>
      <c r="DM24" s="457">
        <f>DM25+DM26</f>
        <v>0</v>
      </c>
      <c r="DN24" s="457">
        <f t="shared" si="38"/>
        <v>0</v>
      </c>
      <c r="DO24" s="457">
        <f t="shared" si="38"/>
        <v>0</v>
      </c>
      <c r="DP24" s="457">
        <f t="shared" si="38"/>
        <v>0</v>
      </c>
      <c r="DQ24" s="457">
        <f t="shared" si="38"/>
        <v>0</v>
      </c>
      <c r="DR24" s="457">
        <f t="shared" si="38"/>
        <v>0</v>
      </c>
      <c r="DS24" s="457">
        <f t="shared" si="38"/>
        <v>0</v>
      </c>
      <c r="DT24" s="457">
        <f t="shared" si="38"/>
        <v>0</v>
      </c>
      <c r="DU24" s="457">
        <f t="shared" si="38"/>
        <v>0</v>
      </c>
      <c r="DV24" s="457">
        <f t="shared" si="38"/>
        <v>0</v>
      </c>
      <c r="DW24" s="457">
        <f>DW25+DW26</f>
        <v>0</v>
      </c>
      <c r="DX24" s="457">
        <f t="shared" si="38"/>
        <v>1861855850</v>
      </c>
      <c r="DY24" s="457">
        <f t="shared" si="38"/>
        <v>1728581000</v>
      </c>
      <c r="DZ24" s="457">
        <f t="shared" si="38"/>
        <v>1189640300</v>
      </c>
      <c r="EA24" s="457">
        <f t="shared" si="38"/>
        <v>2363074768</v>
      </c>
      <c r="EB24" s="457">
        <f t="shared" si="38"/>
        <v>700000000</v>
      </c>
      <c r="EC24" s="457">
        <f t="shared" si="38"/>
        <v>0</v>
      </c>
      <c r="ED24" s="457">
        <f t="shared" si="38"/>
        <v>0</v>
      </c>
      <c r="EE24" s="457">
        <f t="shared" si="38"/>
        <v>0</v>
      </c>
      <c r="EF24" s="457">
        <f t="shared" si="38"/>
        <v>0</v>
      </c>
      <c r="EG24" s="457">
        <f>EG25+EG26</f>
        <v>93698000</v>
      </c>
      <c r="EH24" s="457">
        <f>EH25+EH26</f>
        <v>0</v>
      </c>
      <c r="EI24" s="457">
        <f t="shared" si="38"/>
        <v>0</v>
      </c>
      <c r="EJ24" s="457">
        <f t="shared" si="38"/>
        <v>0</v>
      </c>
      <c r="EK24" s="457">
        <f t="shared" si="38"/>
        <v>1155185000</v>
      </c>
      <c r="EL24" s="457">
        <f>EL25+EL26</f>
        <v>0</v>
      </c>
      <c r="EM24" s="457">
        <f t="shared" si="38"/>
        <v>0</v>
      </c>
      <c r="EN24" s="457">
        <f t="shared" si="38"/>
        <v>0</v>
      </c>
      <c r="EO24" s="457">
        <f t="shared" si="38"/>
        <v>89000000</v>
      </c>
      <c r="EP24" s="457">
        <f t="shared" si="38"/>
        <v>0</v>
      </c>
      <c r="EQ24" s="457">
        <f t="shared" si="38"/>
        <v>89000000</v>
      </c>
      <c r="ER24" s="457">
        <f t="shared" si="38"/>
        <v>0</v>
      </c>
      <c r="ES24" s="457">
        <f t="shared" si="38"/>
        <v>0</v>
      </c>
      <c r="ET24" s="457">
        <f t="shared" si="38"/>
        <v>0</v>
      </c>
      <c r="EU24" s="457">
        <f t="shared" si="38"/>
        <v>0</v>
      </c>
      <c r="EV24" s="457">
        <f t="shared" si="38"/>
        <v>0</v>
      </c>
      <c r="EW24" s="457">
        <f t="shared" si="38"/>
        <v>0</v>
      </c>
      <c r="EX24" s="457">
        <f t="shared" si="38"/>
        <v>0</v>
      </c>
      <c r="EY24" s="457">
        <f>EY25+EY26</f>
        <v>0</v>
      </c>
      <c r="EZ24" s="457">
        <f t="shared" si="38"/>
        <v>0</v>
      </c>
      <c r="FA24" s="457">
        <f t="shared" si="38"/>
        <v>0</v>
      </c>
      <c r="FB24" s="457">
        <f t="shared" si="38"/>
        <v>0</v>
      </c>
      <c r="FC24" s="457">
        <f t="shared" si="38"/>
        <v>0</v>
      </c>
      <c r="FD24" s="457">
        <f>FD25+FD26</f>
        <v>0</v>
      </c>
      <c r="FE24" s="457">
        <f t="shared" si="38"/>
        <v>0</v>
      </c>
      <c r="FF24" s="457">
        <f t="shared" si="38"/>
        <v>0</v>
      </c>
      <c r="FG24" s="457">
        <f t="shared" si="38"/>
        <v>0</v>
      </c>
      <c r="FH24" s="457">
        <f t="shared" si="38"/>
        <v>0</v>
      </c>
      <c r="FI24" s="457">
        <f t="shared" si="38"/>
        <v>0</v>
      </c>
      <c r="FJ24" s="457">
        <f aca="true" t="shared" si="39" ref="FJ24:GF24">FJ25+FJ26</f>
        <v>0</v>
      </c>
      <c r="FK24" s="457">
        <f t="shared" si="39"/>
        <v>0</v>
      </c>
      <c r="FL24" s="457">
        <f t="shared" si="39"/>
        <v>0</v>
      </c>
      <c r="FM24" s="457">
        <f t="shared" si="39"/>
        <v>0</v>
      </c>
      <c r="FN24" s="457">
        <f t="shared" si="39"/>
        <v>0</v>
      </c>
      <c r="FO24" s="457">
        <f t="shared" si="39"/>
        <v>0</v>
      </c>
      <c r="FP24" s="457">
        <f t="shared" si="39"/>
        <v>89000000</v>
      </c>
      <c r="FQ24" s="457">
        <f>FQ25+FQ26</f>
        <v>0</v>
      </c>
      <c r="FR24" s="457">
        <f t="shared" si="39"/>
        <v>0</v>
      </c>
      <c r="FS24" s="457">
        <f t="shared" si="39"/>
        <v>0</v>
      </c>
      <c r="FT24" s="457">
        <f t="shared" si="39"/>
        <v>520000000</v>
      </c>
      <c r="FU24" s="457">
        <f t="shared" si="39"/>
        <v>0</v>
      </c>
      <c r="FV24" s="457">
        <f t="shared" si="39"/>
        <v>520000000</v>
      </c>
      <c r="FW24" s="457">
        <f t="shared" si="39"/>
        <v>0</v>
      </c>
      <c r="FX24" s="457">
        <f>FX25+FX26</f>
        <v>0</v>
      </c>
      <c r="FY24" s="457"/>
      <c r="FZ24" s="457">
        <f t="shared" si="39"/>
        <v>520000000</v>
      </c>
      <c r="GA24" s="457">
        <f t="shared" si="39"/>
        <v>0</v>
      </c>
      <c r="GB24" s="457">
        <f t="shared" si="39"/>
        <v>0</v>
      </c>
      <c r="GC24" s="457">
        <f t="shared" si="39"/>
        <v>0</v>
      </c>
      <c r="GD24" s="457">
        <f t="shared" si="39"/>
        <v>0</v>
      </c>
      <c r="GE24" s="457">
        <f t="shared" si="39"/>
        <v>0</v>
      </c>
      <c r="GF24" s="457">
        <f t="shared" si="39"/>
        <v>0</v>
      </c>
      <c r="GG24" s="457">
        <f>GG25+GG26</f>
        <v>0</v>
      </c>
      <c r="GH24" s="457">
        <f>GH25+GH26</f>
        <v>0</v>
      </c>
      <c r="GI24" s="453" t="s">
        <v>254</v>
      </c>
      <c r="GJ24" s="455">
        <f>CS24/C24</f>
        <v>0.9979978857751757</v>
      </c>
      <c r="GK24" s="455"/>
      <c r="GL24" s="455">
        <f>CZ24/J24</f>
        <v>0.997864458176646</v>
      </c>
      <c r="GM24" s="455">
        <f>EO24/AY24</f>
        <v>1</v>
      </c>
      <c r="GN24" s="455">
        <f>FT24/CD24</f>
        <v>1</v>
      </c>
    </row>
    <row r="25" spans="1:196" s="456" customFormat="1" ht="15" customHeight="1" hidden="1">
      <c r="A25" s="452"/>
      <c r="B25" s="453" t="s">
        <v>250</v>
      </c>
      <c r="C25" s="457">
        <f>D25+J25+AY25+CD25</f>
        <v>0</v>
      </c>
      <c r="D25" s="457">
        <f>SUM(E25:I25)</f>
        <v>0</v>
      </c>
      <c r="E25" s="457"/>
      <c r="F25" s="457"/>
      <c r="G25" s="457"/>
      <c r="H25" s="457"/>
      <c r="I25" s="457"/>
      <c r="J25" s="457">
        <f>SUM(K25:AX25)</f>
        <v>0</v>
      </c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  <c r="AA25" s="457"/>
      <c r="AB25" s="457"/>
      <c r="AC25" s="457"/>
      <c r="AD25" s="457"/>
      <c r="AE25" s="457"/>
      <c r="AF25" s="457"/>
      <c r="AG25" s="457"/>
      <c r="AH25" s="457"/>
      <c r="AI25" s="457"/>
      <c r="AJ25" s="457"/>
      <c r="AK25" s="457"/>
      <c r="AL25" s="457"/>
      <c r="AM25" s="457"/>
      <c r="AN25" s="457"/>
      <c r="AO25" s="457"/>
      <c r="AP25" s="457"/>
      <c r="AQ25" s="457"/>
      <c r="AR25" s="457"/>
      <c r="AS25" s="457"/>
      <c r="AT25" s="457"/>
      <c r="AU25" s="457"/>
      <c r="AV25" s="457"/>
      <c r="AW25" s="457"/>
      <c r="AX25" s="457"/>
      <c r="AY25" s="457">
        <f>SUM(AZ25:BA25)</f>
        <v>0</v>
      </c>
      <c r="AZ25" s="457">
        <f>SUM(BB25:BI25)+SUM(BQ25:BX25)</f>
        <v>0</v>
      </c>
      <c r="BA25" s="457">
        <f>SUM(BJ25:BP25)+SUM(BY25:CC25)</f>
        <v>0</v>
      </c>
      <c r="BB25" s="457"/>
      <c r="BC25" s="457"/>
      <c r="BD25" s="457"/>
      <c r="BE25" s="457"/>
      <c r="BF25" s="457"/>
      <c r="BG25" s="457"/>
      <c r="BH25" s="457"/>
      <c r="BI25" s="457"/>
      <c r="BJ25" s="457"/>
      <c r="BK25" s="457"/>
      <c r="BL25" s="457"/>
      <c r="BM25" s="457"/>
      <c r="BN25" s="457"/>
      <c r="BO25" s="457"/>
      <c r="BP25" s="457"/>
      <c r="BQ25" s="457"/>
      <c r="BR25" s="457"/>
      <c r="BS25" s="457"/>
      <c r="BT25" s="457"/>
      <c r="BU25" s="457"/>
      <c r="BV25" s="457"/>
      <c r="BW25" s="457"/>
      <c r="BX25" s="457"/>
      <c r="BY25" s="457"/>
      <c r="BZ25" s="457"/>
      <c r="CA25" s="457"/>
      <c r="CB25" s="457"/>
      <c r="CC25" s="457"/>
      <c r="CD25" s="457">
        <f>SUM(CE25:CF25)</f>
        <v>0</v>
      </c>
      <c r="CE25" s="457">
        <f>SUM(CG25:CI25)</f>
        <v>0</v>
      </c>
      <c r="CF25" s="457">
        <f>SUM(CJ25:CQ25)</f>
        <v>0</v>
      </c>
      <c r="CG25" s="457"/>
      <c r="CH25" s="457"/>
      <c r="CI25" s="457"/>
      <c r="CJ25" s="457"/>
      <c r="CK25" s="457"/>
      <c r="CL25" s="457"/>
      <c r="CM25" s="457"/>
      <c r="CN25" s="457"/>
      <c r="CO25" s="457"/>
      <c r="CP25" s="457"/>
      <c r="CQ25" s="457"/>
      <c r="CR25" s="453" t="s">
        <v>250</v>
      </c>
      <c r="CS25" s="457">
        <f>CT25+CZ25+EO25+FT25+GH25</f>
        <v>0</v>
      </c>
      <c r="CT25" s="457">
        <f>SUM(CU25:CY25)</f>
        <v>0</v>
      </c>
      <c r="CU25" s="457"/>
      <c r="CV25" s="457"/>
      <c r="CW25" s="457"/>
      <c r="CX25" s="457"/>
      <c r="CY25" s="457"/>
      <c r="CZ25" s="457">
        <f>SUM(DA25:EN25)</f>
        <v>0</v>
      </c>
      <c r="DA25" s="457"/>
      <c r="DB25" s="457"/>
      <c r="DC25" s="457"/>
      <c r="DD25" s="457"/>
      <c r="DE25" s="457"/>
      <c r="DF25" s="457"/>
      <c r="DG25" s="457"/>
      <c r="DH25" s="457"/>
      <c r="DI25" s="457"/>
      <c r="DJ25" s="457"/>
      <c r="DK25" s="457"/>
      <c r="DL25" s="457"/>
      <c r="DM25" s="457"/>
      <c r="DN25" s="457"/>
      <c r="DO25" s="457"/>
      <c r="DP25" s="457"/>
      <c r="DQ25" s="457"/>
      <c r="DR25" s="457"/>
      <c r="DS25" s="457"/>
      <c r="DT25" s="457"/>
      <c r="DU25" s="457"/>
      <c r="DV25" s="457"/>
      <c r="DW25" s="457"/>
      <c r="DX25" s="457"/>
      <c r="DY25" s="457"/>
      <c r="DZ25" s="457"/>
      <c r="EA25" s="457"/>
      <c r="EB25" s="457"/>
      <c r="EC25" s="457"/>
      <c r="ED25" s="457"/>
      <c r="EE25" s="457"/>
      <c r="EF25" s="457"/>
      <c r="EG25" s="457"/>
      <c r="EH25" s="457"/>
      <c r="EI25" s="457"/>
      <c r="EJ25" s="457"/>
      <c r="EK25" s="457"/>
      <c r="EL25" s="457"/>
      <c r="EM25" s="457"/>
      <c r="EN25" s="457"/>
      <c r="EO25" s="457">
        <f>SUM(EP25:EQ25)</f>
        <v>0</v>
      </c>
      <c r="EP25" s="457">
        <f>SUM(ER25:EY25)+SUM(FG25:FN25)</f>
        <v>0</v>
      </c>
      <c r="EQ25" s="457">
        <f>SUM(EZ25:FF25)+SUM(FO25:FS25)</f>
        <v>0</v>
      </c>
      <c r="ER25" s="457"/>
      <c r="ES25" s="457"/>
      <c r="ET25" s="457"/>
      <c r="EU25" s="457"/>
      <c r="EV25" s="457"/>
      <c r="EW25" s="457"/>
      <c r="EX25" s="457"/>
      <c r="EY25" s="457"/>
      <c r="EZ25" s="457"/>
      <c r="FA25" s="457"/>
      <c r="FB25" s="457"/>
      <c r="FC25" s="457"/>
      <c r="FD25" s="457"/>
      <c r="FE25" s="457"/>
      <c r="FF25" s="457"/>
      <c r="FG25" s="457"/>
      <c r="FH25" s="457"/>
      <c r="FI25" s="457"/>
      <c r="FJ25" s="457"/>
      <c r="FK25" s="457"/>
      <c r="FL25" s="457"/>
      <c r="FM25" s="457"/>
      <c r="FN25" s="457"/>
      <c r="FO25" s="457"/>
      <c r="FP25" s="457"/>
      <c r="FQ25" s="457"/>
      <c r="FR25" s="457"/>
      <c r="FS25" s="457"/>
      <c r="FT25" s="457">
        <f>SUM(FU25:FV25)</f>
        <v>0</v>
      </c>
      <c r="FU25" s="457">
        <f>SUM(FW25:FY25)</f>
        <v>0</v>
      </c>
      <c r="FV25" s="457">
        <f>SUM(FZ25:GG25)</f>
        <v>0</v>
      </c>
      <c r="FW25" s="457"/>
      <c r="FX25" s="457"/>
      <c r="FY25" s="457"/>
      <c r="FZ25" s="457"/>
      <c r="GA25" s="457"/>
      <c r="GB25" s="457"/>
      <c r="GC25" s="457"/>
      <c r="GD25" s="457"/>
      <c r="GE25" s="457"/>
      <c r="GF25" s="457"/>
      <c r="GG25" s="457"/>
      <c r="GH25" s="457"/>
      <c r="GI25" s="453" t="s">
        <v>250</v>
      </c>
      <c r="GJ25" s="455"/>
      <c r="GK25" s="455"/>
      <c r="GL25" s="455"/>
      <c r="GM25" s="455"/>
      <c r="GN25" s="455"/>
    </row>
    <row r="26" spans="1:196" s="456" customFormat="1" ht="15" customHeight="1" hidden="1">
      <c r="A26" s="452"/>
      <c r="B26" s="453" t="s">
        <v>251</v>
      </c>
      <c r="C26" s="457">
        <f>D26+J26+AY26+CD26</f>
        <v>9747196118</v>
      </c>
      <c r="D26" s="457">
        <f>SUM(E26:I26)</f>
        <v>0</v>
      </c>
      <c r="E26" s="457"/>
      <c r="F26" s="457"/>
      <c r="G26" s="457"/>
      <c r="H26" s="457"/>
      <c r="I26" s="457"/>
      <c r="J26" s="457">
        <f>SUM(K26:AX26)</f>
        <v>9138196118</v>
      </c>
      <c r="K26" s="457"/>
      <c r="L26" s="457"/>
      <c r="M26" s="457"/>
      <c r="N26" s="457"/>
      <c r="O26" s="457"/>
      <c r="P26" s="457"/>
      <c r="Q26" s="457"/>
      <c r="R26" s="457"/>
      <c r="S26" s="457"/>
      <c r="T26" s="457">
        <f>30000000-3353800</f>
        <v>26646200</v>
      </c>
      <c r="U26" s="457"/>
      <c r="V26" s="457"/>
      <c r="W26" s="457"/>
      <c r="X26" s="457"/>
      <c r="Y26" s="457"/>
      <c r="Z26" s="457"/>
      <c r="AA26" s="457"/>
      <c r="AB26" s="457"/>
      <c r="AC26" s="457"/>
      <c r="AD26" s="457"/>
      <c r="AE26" s="457"/>
      <c r="AF26" s="457"/>
      <c r="AG26" s="457"/>
      <c r="AH26" s="457">
        <f>2005002786-143146936</f>
        <v>1861855850</v>
      </c>
      <c r="AI26" s="457">
        <f>1828000000-99419000</f>
        <v>1728581000</v>
      </c>
      <c r="AJ26" s="457">
        <f>873118500+316521800</f>
        <v>1189640300</v>
      </c>
      <c r="AK26" s="457">
        <f>3515000000-1151925232</f>
        <v>2363074768</v>
      </c>
      <c r="AL26" s="457">
        <v>700000000</v>
      </c>
      <c r="AM26" s="457"/>
      <c r="AN26" s="457"/>
      <c r="AO26" s="457"/>
      <c r="AP26" s="457"/>
      <c r="AQ26" s="457">
        <f>439059083-345361083</f>
        <v>93698000</v>
      </c>
      <c r="AR26" s="457"/>
      <c r="AS26" s="457"/>
      <c r="AT26" s="457"/>
      <c r="AU26" s="457">
        <v>1174700000</v>
      </c>
      <c r="AV26" s="457"/>
      <c r="AW26" s="457"/>
      <c r="AX26" s="457"/>
      <c r="AY26" s="457">
        <f>SUM(AZ26:BA26)</f>
        <v>89000000</v>
      </c>
      <c r="AZ26" s="457">
        <f>SUM(BB26:BI26)+SUM(BQ26:BX26)</f>
        <v>0</v>
      </c>
      <c r="BA26" s="457">
        <f>SUM(BJ26:BP26)+SUM(BY26:CC26)</f>
        <v>89000000</v>
      </c>
      <c r="BB26" s="457"/>
      <c r="BC26" s="457"/>
      <c r="BD26" s="457"/>
      <c r="BE26" s="457"/>
      <c r="BF26" s="457"/>
      <c r="BG26" s="457"/>
      <c r="BH26" s="457"/>
      <c r="BI26" s="457"/>
      <c r="BJ26" s="457"/>
      <c r="BK26" s="457"/>
      <c r="BL26" s="457"/>
      <c r="BM26" s="457"/>
      <c r="BN26" s="457"/>
      <c r="BO26" s="457"/>
      <c r="BP26" s="457"/>
      <c r="BQ26" s="457"/>
      <c r="BR26" s="457"/>
      <c r="BS26" s="457"/>
      <c r="BT26" s="457"/>
      <c r="BU26" s="457"/>
      <c r="BV26" s="457"/>
      <c r="BW26" s="457"/>
      <c r="BX26" s="457"/>
      <c r="BY26" s="457"/>
      <c r="BZ26" s="457">
        <v>89000000</v>
      </c>
      <c r="CA26" s="457"/>
      <c r="CB26" s="457"/>
      <c r="CC26" s="457"/>
      <c r="CD26" s="457">
        <f>SUM(CE26:CF26)</f>
        <v>520000000</v>
      </c>
      <c r="CE26" s="457">
        <f>SUM(CG26:CI26)</f>
        <v>0</v>
      </c>
      <c r="CF26" s="457">
        <f>SUM(CJ26:CQ26)</f>
        <v>520000000</v>
      </c>
      <c r="CG26" s="457"/>
      <c r="CH26" s="457"/>
      <c r="CI26" s="457"/>
      <c r="CJ26" s="457">
        <f>410000000+300000000-190000000</f>
        <v>520000000</v>
      </c>
      <c r="CK26" s="457"/>
      <c r="CL26" s="457"/>
      <c r="CM26" s="457"/>
      <c r="CN26" s="457"/>
      <c r="CO26" s="457"/>
      <c r="CP26" s="457"/>
      <c r="CQ26" s="457"/>
      <c r="CR26" s="453" t="s">
        <v>251</v>
      </c>
      <c r="CS26" s="457">
        <f>CT26+CZ26+EO26+FT26+GH26</f>
        <v>9727681118</v>
      </c>
      <c r="CT26" s="457">
        <f>SUM(CU26:CY26)</f>
        <v>0</v>
      </c>
      <c r="CU26" s="457"/>
      <c r="CV26" s="457"/>
      <c r="CW26" s="457"/>
      <c r="CX26" s="457"/>
      <c r="CY26" s="457"/>
      <c r="CZ26" s="457">
        <f>SUM(DA26:EN26)</f>
        <v>9118681118</v>
      </c>
      <c r="DA26" s="457"/>
      <c r="DB26" s="457"/>
      <c r="DC26" s="457"/>
      <c r="DD26" s="457"/>
      <c r="DE26" s="457"/>
      <c r="DF26" s="457"/>
      <c r="DG26" s="457"/>
      <c r="DH26" s="457"/>
      <c r="DI26" s="457"/>
      <c r="DJ26" s="457">
        <v>26646200</v>
      </c>
      <c r="DK26" s="457"/>
      <c r="DL26" s="457"/>
      <c r="DM26" s="457"/>
      <c r="DN26" s="457"/>
      <c r="DO26" s="457"/>
      <c r="DP26" s="457"/>
      <c r="DQ26" s="457"/>
      <c r="DR26" s="457"/>
      <c r="DS26" s="457"/>
      <c r="DT26" s="457"/>
      <c r="DU26" s="457"/>
      <c r="DV26" s="457"/>
      <c r="DW26" s="457"/>
      <c r="DX26" s="457">
        <v>1861855850</v>
      </c>
      <c r="DY26" s="457">
        <v>1728581000</v>
      </c>
      <c r="DZ26" s="457">
        <f>873118500+316521800</f>
        <v>1189640300</v>
      </c>
      <c r="EA26" s="457">
        <v>2363074768</v>
      </c>
      <c r="EB26" s="457">
        <v>700000000</v>
      </c>
      <c r="EC26" s="457"/>
      <c r="ED26" s="457"/>
      <c r="EE26" s="457"/>
      <c r="EF26" s="457"/>
      <c r="EG26" s="457">
        <v>93698000</v>
      </c>
      <c r="EH26" s="457"/>
      <c r="EI26" s="457"/>
      <c r="EJ26" s="457"/>
      <c r="EK26" s="457">
        <v>1155185000</v>
      </c>
      <c r="EL26" s="457"/>
      <c r="EM26" s="457"/>
      <c r="EN26" s="457"/>
      <c r="EO26" s="457">
        <f>SUM(EP26:EQ26)</f>
        <v>89000000</v>
      </c>
      <c r="EP26" s="457">
        <f>SUM(ER26:EY26)+SUM(FG26:FN26)</f>
        <v>0</v>
      </c>
      <c r="EQ26" s="457">
        <f>SUM(EZ26:FF26)+SUM(FO26:FS26)</f>
        <v>89000000</v>
      </c>
      <c r="ER26" s="457"/>
      <c r="ES26" s="457"/>
      <c r="ET26" s="457"/>
      <c r="EU26" s="457"/>
      <c r="EV26" s="457"/>
      <c r="EW26" s="457"/>
      <c r="EX26" s="457"/>
      <c r="EY26" s="457"/>
      <c r="EZ26" s="457"/>
      <c r="FA26" s="457"/>
      <c r="FB26" s="457"/>
      <c r="FC26" s="457"/>
      <c r="FD26" s="457"/>
      <c r="FE26" s="457"/>
      <c r="FF26" s="457"/>
      <c r="FG26" s="457"/>
      <c r="FH26" s="457"/>
      <c r="FI26" s="457"/>
      <c r="FJ26" s="457"/>
      <c r="FK26" s="457"/>
      <c r="FL26" s="457"/>
      <c r="FM26" s="457"/>
      <c r="FN26" s="457"/>
      <c r="FO26" s="457"/>
      <c r="FP26" s="457">
        <v>89000000</v>
      </c>
      <c r="FQ26" s="457"/>
      <c r="FR26" s="457"/>
      <c r="FS26" s="457"/>
      <c r="FT26" s="457">
        <f>SUM(FU26:FV26)</f>
        <v>520000000</v>
      </c>
      <c r="FU26" s="457">
        <f>SUM(FW26:FY26)</f>
        <v>0</v>
      </c>
      <c r="FV26" s="457">
        <f>SUM(FZ26:GG26)</f>
        <v>520000000</v>
      </c>
      <c r="FW26" s="457"/>
      <c r="FX26" s="457"/>
      <c r="FY26" s="457"/>
      <c r="FZ26" s="457">
        <f>220000000+300000000</f>
        <v>520000000</v>
      </c>
      <c r="GA26" s="457"/>
      <c r="GB26" s="457"/>
      <c r="GC26" s="457"/>
      <c r="GD26" s="457"/>
      <c r="GE26" s="457"/>
      <c r="GF26" s="457"/>
      <c r="GG26" s="457"/>
      <c r="GH26" s="457"/>
      <c r="GI26" s="453" t="s">
        <v>251</v>
      </c>
      <c r="GJ26" s="455">
        <f>CS26/C26</f>
        <v>0.9979978857751757</v>
      </c>
      <c r="GK26" s="455"/>
      <c r="GL26" s="455">
        <f>CZ26/J26</f>
        <v>0.997864458176646</v>
      </c>
      <c r="GM26" s="455"/>
      <c r="GN26" s="455"/>
    </row>
    <row r="27" spans="1:196" s="456" customFormat="1" ht="15" customHeight="1">
      <c r="A27" s="452">
        <v>5</v>
      </c>
      <c r="B27" s="453" t="s">
        <v>255</v>
      </c>
      <c r="C27" s="457">
        <f aca="true" t="shared" si="40" ref="C27:H27">C28+C29</f>
        <v>1841461520</v>
      </c>
      <c r="D27" s="457">
        <f t="shared" si="40"/>
        <v>0</v>
      </c>
      <c r="E27" s="457">
        <f t="shared" si="40"/>
        <v>0</v>
      </c>
      <c r="F27" s="457">
        <f t="shared" si="40"/>
        <v>0</v>
      </c>
      <c r="G27" s="457">
        <f t="shared" si="40"/>
        <v>0</v>
      </c>
      <c r="H27" s="457">
        <f t="shared" si="40"/>
        <v>0</v>
      </c>
      <c r="I27" s="457">
        <f aca="true" t="shared" si="41" ref="I27:BY27">I28+I29</f>
        <v>0</v>
      </c>
      <c r="J27" s="457">
        <f>J28+J29</f>
        <v>1841461520</v>
      </c>
      <c r="K27" s="457">
        <f t="shared" si="41"/>
        <v>0</v>
      </c>
      <c r="L27" s="457">
        <f>L28+L29</f>
        <v>0</v>
      </c>
      <c r="M27" s="457">
        <f t="shared" si="41"/>
        <v>0</v>
      </c>
      <c r="N27" s="457">
        <f t="shared" si="41"/>
        <v>0</v>
      </c>
      <c r="O27" s="457">
        <f t="shared" si="41"/>
        <v>0</v>
      </c>
      <c r="P27" s="457">
        <f t="shared" si="41"/>
        <v>0</v>
      </c>
      <c r="Q27" s="457">
        <f t="shared" si="41"/>
        <v>0</v>
      </c>
      <c r="R27" s="457">
        <f t="shared" si="41"/>
        <v>0</v>
      </c>
      <c r="S27" s="457">
        <f>S28+S29</f>
        <v>0</v>
      </c>
      <c r="T27" s="457">
        <f t="shared" si="41"/>
        <v>61102000</v>
      </c>
      <c r="U27" s="457">
        <f t="shared" si="41"/>
        <v>0</v>
      </c>
      <c r="V27" s="457">
        <f>V28+V29</f>
        <v>0</v>
      </c>
      <c r="W27" s="457">
        <f>W28+W29</f>
        <v>0</v>
      </c>
      <c r="X27" s="457">
        <f t="shared" si="41"/>
        <v>0</v>
      </c>
      <c r="Y27" s="457">
        <f t="shared" si="41"/>
        <v>0</v>
      </c>
      <c r="Z27" s="457">
        <f t="shared" si="41"/>
        <v>0</v>
      </c>
      <c r="AA27" s="457">
        <f t="shared" si="41"/>
        <v>0</v>
      </c>
      <c r="AB27" s="457">
        <f t="shared" si="41"/>
        <v>0</v>
      </c>
      <c r="AC27" s="457">
        <f t="shared" si="41"/>
        <v>0</v>
      </c>
      <c r="AD27" s="457">
        <f t="shared" si="41"/>
        <v>0</v>
      </c>
      <c r="AE27" s="457">
        <f t="shared" si="41"/>
        <v>0</v>
      </c>
      <c r="AF27" s="457">
        <f t="shared" si="41"/>
        <v>0</v>
      </c>
      <c r="AG27" s="457">
        <f>AG28+AG29</f>
        <v>0</v>
      </c>
      <c r="AH27" s="457">
        <f t="shared" si="41"/>
        <v>0</v>
      </c>
      <c r="AI27" s="457">
        <f t="shared" si="41"/>
        <v>0</v>
      </c>
      <c r="AJ27" s="457">
        <f t="shared" si="41"/>
        <v>0</v>
      </c>
      <c r="AK27" s="457">
        <f t="shared" si="41"/>
        <v>0</v>
      </c>
      <c r="AL27" s="457">
        <f t="shared" si="41"/>
        <v>0</v>
      </c>
      <c r="AM27" s="457">
        <f t="shared" si="41"/>
        <v>0</v>
      </c>
      <c r="AN27" s="457">
        <f t="shared" si="41"/>
        <v>0</v>
      </c>
      <c r="AO27" s="457">
        <f t="shared" si="41"/>
        <v>0</v>
      </c>
      <c r="AP27" s="457">
        <f t="shared" si="41"/>
        <v>0</v>
      </c>
      <c r="AQ27" s="457">
        <f>AQ28+AQ29</f>
        <v>0</v>
      </c>
      <c r="AR27" s="457">
        <f>AR28+AR29</f>
        <v>0</v>
      </c>
      <c r="AS27" s="457">
        <f t="shared" si="41"/>
        <v>0</v>
      </c>
      <c r="AT27" s="457">
        <f t="shared" si="41"/>
        <v>0</v>
      </c>
      <c r="AU27" s="457">
        <f t="shared" si="41"/>
        <v>1780359520</v>
      </c>
      <c r="AV27" s="457">
        <f>AV28+AV29</f>
        <v>0</v>
      </c>
      <c r="AW27" s="457">
        <f t="shared" si="41"/>
        <v>0</v>
      </c>
      <c r="AX27" s="457">
        <f t="shared" si="41"/>
        <v>0</v>
      </c>
      <c r="AY27" s="457">
        <f>AY28+AY29</f>
        <v>0</v>
      </c>
      <c r="AZ27" s="457">
        <f>AZ28+AZ29</f>
        <v>0</v>
      </c>
      <c r="BA27" s="457">
        <f>BA28+BA29</f>
        <v>0</v>
      </c>
      <c r="BB27" s="457">
        <f t="shared" si="41"/>
        <v>0</v>
      </c>
      <c r="BC27" s="457">
        <f t="shared" si="41"/>
        <v>0</v>
      </c>
      <c r="BD27" s="457">
        <f t="shared" si="41"/>
        <v>0</v>
      </c>
      <c r="BE27" s="457">
        <f t="shared" si="41"/>
        <v>0</v>
      </c>
      <c r="BF27" s="457">
        <f t="shared" si="41"/>
        <v>0</v>
      </c>
      <c r="BG27" s="457">
        <f t="shared" si="41"/>
        <v>0</v>
      </c>
      <c r="BH27" s="457">
        <f t="shared" si="41"/>
        <v>0</v>
      </c>
      <c r="BI27" s="457">
        <f>BI28+BI29</f>
        <v>0</v>
      </c>
      <c r="BJ27" s="457">
        <f t="shared" si="41"/>
        <v>0</v>
      </c>
      <c r="BK27" s="457">
        <f t="shared" si="41"/>
        <v>0</v>
      </c>
      <c r="BL27" s="457">
        <f t="shared" si="41"/>
        <v>0</v>
      </c>
      <c r="BM27" s="457">
        <f t="shared" si="41"/>
        <v>0</v>
      </c>
      <c r="BN27" s="457">
        <f>BN28+BN29</f>
        <v>0</v>
      </c>
      <c r="BO27" s="457">
        <f t="shared" si="41"/>
        <v>0</v>
      </c>
      <c r="BP27" s="457">
        <f t="shared" si="41"/>
        <v>0</v>
      </c>
      <c r="BQ27" s="457">
        <f t="shared" si="41"/>
        <v>0</v>
      </c>
      <c r="BR27" s="457">
        <f t="shared" si="41"/>
        <v>0</v>
      </c>
      <c r="BS27" s="457">
        <f t="shared" si="41"/>
        <v>0</v>
      </c>
      <c r="BT27" s="457">
        <f t="shared" si="41"/>
        <v>0</v>
      </c>
      <c r="BU27" s="457">
        <f t="shared" si="41"/>
        <v>0</v>
      </c>
      <c r="BV27" s="457">
        <f t="shared" si="41"/>
        <v>0</v>
      </c>
      <c r="BW27" s="457">
        <f t="shared" si="41"/>
        <v>0</v>
      </c>
      <c r="BX27" s="457">
        <f t="shared" si="41"/>
        <v>0</v>
      </c>
      <c r="BY27" s="457">
        <f t="shared" si="41"/>
        <v>0</v>
      </c>
      <c r="BZ27" s="457">
        <f aca="true" t="shared" si="42" ref="BZ27:CP27">BZ28+BZ29</f>
        <v>0</v>
      </c>
      <c r="CA27" s="457">
        <f>CA28+CA29</f>
        <v>0</v>
      </c>
      <c r="CB27" s="457">
        <f t="shared" si="42"/>
        <v>0</v>
      </c>
      <c r="CC27" s="457">
        <f t="shared" si="42"/>
        <v>0</v>
      </c>
      <c r="CD27" s="457">
        <f t="shared" si="42"/>
        <v>0</v>
      </c>
      <c r="CE27" s="457">
        <f>CE28+CE29</f>
        <v>0</v>
      </c>
      <c r="CF27" s="457">
        <f>CF28+CF29</f>
        <v>0</v>
      </c>
      <c r="CG27" s="457">
        <f t="shared" si="42"/>
        <v>0</v>
      </c>
      <c r="CH27" s="457">
        <f>CH28+CH29</f>
        <v>0</v>
      </c>
      <c r="CI27" s="457">
        <f>CI28+CI29</f>
        <v>0</v>
      </c>
      <c r="CJ27" s="457">
        <f t="shared" si="42"/>
        <v>0</v>
      </c>
      <c r="CK27" s="457">
        <f t="shared" si="42"/>
        <v>0</v>
      </c>
      <c r="CL27" s="457">
        <f t="shared" si="42"/>
        <v>0</v>
      </c>
      <c r="CM27" s="457">
        <f t="shared" si="42"/>
        <v>0</v>
      </c>
      <c r="CN27" s="457">
        <f t="shared" si="42"/>
        <v>0</v>
      </c>
      <c r="CO27" s="457">
        <f t="shared" si="42"/>
        <v>0</v>
      </c>
      <c r="CP27" s="457">
        <f t="shared" si="42"/>
        <v>0</v>
      </c>
      <c r="CQ27" s="457">
        <f>CQ28+CQ29</f>
        <v>0</v>
      </c>
      <c r="CR27" s="453" t="s">
        <v>255</v>
      </c>
      <c r="CS27" s="457">
        <f aca="true" t="shared" si="43" ref="CS27:FI27">CS28+CS29</f>
        <v>1841341288</v>
      </c>
      <c r="CT27" s="457">
        <f t="shared" si="43"/>
        <v>0</v>
      </c>
      <c r="CU27" s="457">
        <f t="shared" si="43"/>
        <v>0</v>
      </c>
      <c r="CV27" s="457">
        <f>CV28+CV29</f>
        <v>0</v>
      </c>
      <c r="CW27" s="457">
        <f>CW28+CW29</f>
        <v>0</v>
      </c>
      <c r="CX27" s="457">
        <f>CX28+CX29</f>
        <v>0</v>
      </c>
      <c r="CY27" s="457">
        <f t="shared" si="43"/>
        <v>0</v>
      </c>
      <c r="CZ27" s="457">
        <f t="shared" si="43"/>
        <v>1841341288</v>
      </c>
      <c r="DA27" s="457">
        <f t="shared" si="43"/>
        <v>0</v>
      </c>
      <c r="DB27" s="457">
        <f>DB28+DB29</f>
        <v>0</v>
      </c>
      <c r="DC27" s="457">
        <f t="shared" si="43"/>
        <v>0</v>
      </c>
      <c r="DD27" s="457">
        <f t="shared" si="43"/>
        <v>0</v>
      </c>
      <c r="DE27" s="457">
        <f t="shared" si="43"/>
        <v>0</v>
      </c>
      <c r="DF27" s="457">
        <f t="shared" si="43"/>
        <v>0</v>
      </c>
      <c r="DG27" s="457">
        <f t="shared" si="43"/>
        <v>0</v>
      </c>
      <c r="DH27" s="457">
        <f t="shared" si="43"/>
        <v>0</v>
      </c>
      <c r="DI27" s="457">
        <f>DI28+DI29</f>
        <v>0</v>
      </c>
      <c r="DJ27" s="457">
        <f t="shared" si="43"/>
        <v>61102000</v>
      </c>
      <c r="DK27" s="457">
        <f t="shared" si="43"/>
        <v>0</v>
      </c>
      <c r="DL27" s="457">
        <f>DL28+DL29</f>
        <v>0</v>
      </c>
      <c r="DM27" s="457">
        <f>DM28+DM29</f>
        <v>0</v>
      </c>
      <c r="DN27" s="457">
        <f t="shared" si="43"/>
        <v>0</v>
      </c>
      <c r="DO27" s="457">
        <f t="shared" si="43"/>
        <v>0</v>
      </c>
      <c r="DP27" s="457">
        <f t="shared" si="43"/>
        <v>0</v>
      </c>
      <c r="DQ27" s="457">
        <f t="shared" si="43"/>
        <v>0</v>
      </c>
      <c r="DR27" s="457">
        <f t="shared" si="43"/>
        <v>0</v>
      </c>
      <c r="DS27" s="457">
        <f t="shared" si="43"/>
        <v>0</v>
      </c>
      <c r="DT27" s="457">
        <f t="shared" si="43"/>
        <v>0</v>
      </c>
      <c r="DU27" s="457">
        <f t="shared" si="43"/>
        <v>0</v>
      </c>
      <c r="DV27" s="457">
        <f t="shared" si="43"/>
        <v>0</v>
      </c>
      <c r="DW27" s="457">
        <f>DW28+DW29</f>
        <v>0</v>
      </c>
      <c r="DX27" s="457">
        <f t="shared" si="43"/>
        <v>0</v>
      </c>
      <c r="DY27" s="457">
        <f t="shared" si="43"/>
        <v>0</v>
      </c>
      <c r="DZ27" s="457">
        <f t="shared" si="43"/>
        <v>0</v>
      </c>
      <c r="EA27" s="457">
        <f t="shared" si="43"/>
        <v>0</v>
      </c>
      <c r="EB27" s="457">
        <f t="shared" si="43"/>
        <v>0</v>
      </c>
      <c r="EC27" s="457">
        <f t="shared" si="43"/>
        <v>0</v>
      </c>
      <c r="ED27" s="457">
        <f t="shared" si="43"/>
        <v>0</v>
      </c>
      <c r="EE27" s="457">
        <f t="shared" si="43"/>
        <v>0</v>
      </c>
      <c r="EF27" s="457">
        <f t="shared" si="43"/>
        <v>0</v>
      </c>
      <c r="EG27" s="457">
        <f>EG28+EG29</f>
        <v>0</v>
      </c>
      <c r="EH27" s="457">
        <f>EH28+EH29</f>
        <v>0</v>
      </c>
      <c r="EI27" s="457">
        <f t="shared" si="43"/>
        <v>0</v>
      </c>
      <c r="EJ27" s="457">
        <f t="shared" si="43"/>
        <v>0</v>
      </c>
      <c r="EK27" s="457">
        <f t="shared" si="43"/>
        <v>1780239288</v>
      </c>
      <c r="EL27" s="457">
        <f>EL28+EL29</f>
        <v>0</v>
      </c>
      <c r="EM27" s="457">
        <f t="shared" si="43"/>
        <v>0</v>
      </c>
      <c r="EN27" s="457">
        <f t="shared" si="43"/>
        <v>0</v>
      </c>
      <c r="EO27" s="457">
        <f t="shared" si="43"/>
        <v>0</v>
      </c>
      <c r="EP27" s="457">
        <f t="shared" si="43"/>
        <v>0</v>
      </c>
      <c r="EQ27" s="457">
        <f t="shared" si="43"/>
        <v>0</v>
      </c>
      <c r="ER27" s="457">
        <f t="shared" si="43"/>
        <v>0</v>
      </c>
      <c r="ES27" s="457">
        <f t="shared" si="43"/>
        <v>0</v>
      </c>
      <c r="ET27" s="457">
        <f t="shared" si="43"/>
        <v>0</v>
      </c>
      <c r="EU27" s="457">
        <f t="shared" si="43"/>
        <v>0</v>
      </c>
      <c r="EV27" s="457">
        <f t="shared" si="43"/>
        <v>0</v>
      </c>
      <c r="EW27" s="457">
        <f t="shared" si="43"/>
        <v>0</v>
      </c>
      <c r="EX27" s="457">
        <f t="shared" si="43"/>
        <v>0</v>
      </c>
      <c r="EY27" s="457">
        <f>EY28+EY29</f>
        <v>0</v>
      </c>
      <c r="EZ27" s="457">
        <f t="shared" si="43"/>
        <v>0</v>
      </c>
      <c r="FA27" s="457">
        <f t="shared" si="43"/>
        <v>0</v>
      </c>
      <c r="FB27" s="457">
        <f t="shared" si="43"/>
        <v>0</v>
      </c>
      <c r="FC27" s="457">
        <f t="shared" si="43"/>
        <v>0</v>
      </c>
      <c r="FD27" s="457">
        <f>FD28+FD29</f>
        <v>0</v>
      </c>
      <c r="FE27" s="457">
        <f t="shared" si="43"/>
        <v>0</v>
      </c>
      <c r="FF27" s="457">
        <f t="shared" si="43"/>
        <v>0</v>
      </c>
      <c r="FG27" s="457">
        <f t="shared" si="43"/>
        <v>0</v>
      </c>
      <c r="FH27" s="457">
        <f t="shared" si="43"/>
        <v>0</v>
      </c>
      <c r="FI27" s="457">
        <f t="shared" si="43"/>
        <v>0</v>
      </c>
      <c r="FJ27" s="457">
        <f aca="true" t="shared" si="44" ref="FJ27:GF27">FJ28+FJ29</f>
        <v>0</v>
      </c>
      <c r="FK27" s="457">
        <f t="shared" si="44"/>
        <v>0</v>
      </c>
      <c r="FL27" s="457">
        <f t="shared" si="44"/>
        <v>0</v>
      </c>
      <c r="FM27" s="457">
        <f t="shared" si="44"/>
        <v>0</v>
      </c>
      <c r="FN27" s="457">
        <f t="shared" si="44"/>
        <v>0</v>
      </c>
      <c r="FO27" s="457">
        <f t="shared" si="44"/>
        <v>0</v>
      </c>
      <c r="FP27" s="457">
        <f t="shared" si="44"/>
        <v>0</v>
      </c>
      <c r="FQ27" s="457">
        <f>FQ28+FQ29</f>
        <v>0</v>
      </c>
      <c r="FR27" s="457">
        <f t="shared" si="44"/>
        <v>0</v>
      </c>
      <c r="FS27" s="457">
        <f t="shared" si="44"/>
        <v>0</v>
      </c>
      <c r="FT27" s="457">
        <f t="shared" si="44"/>
        <v>0</v>
      </c>
      <c r="FU27" s="457">
        <f t="shared" si="44"/>
        <v>0</v>
      </c>
      <c r="FV27" s="457">
        <f t="shared" si="44"/>
        <v>0</v>
      </c>
      <c r="FW27" s="457">
        <f t="shared" si="44"/>
        <v>0</v>
      </c>
      <c r="FX27" s="457">
        <f>FX28+FX29</f>
        <v>0</v>
      </c>
      <c r="FY27" s="457"/>
      <c r="FZ27" s="457">
        <f t="shared" si="44"/>
        <v>0</v>
      </c>
      <c r="GA27" s="457">
        <f t="shared" si="44"/>
        <v>0</v>
      </c>
      <c r="GB27" s="457">
        <f t="shared" si="44"/>
        <v>0</v>
      </c>
      <c r="GC27" s="457">
        <f t="shared" si="44"/>
        <v>0</v>
      </c>
      <c r="GD27" s="457">
        <f t="shared" si="44"/>
        <v>0</v>
      </c>
      <c r="GE27" s="457">
        <f t="shared" si="44"/>
        <v>0</v>
      </c>
      <c r="GF27" s="457">
        <f t="shared" si="44"/>
        <v>0</v>
      </c>
      <c r="GG27" s="457">
        <f>GG28+GG29</f>
        <v>0</v>
      </c>
      <c r="GH27" s="457">
        <f>GH28+GH29</f>
        <v>0</v>
      </c>
      <c r="GI27" s="453" t="s">
        <v>255</v>
      </c>
      <c r="GJ27" s="455">
        <f>CS27/C27</f>
        <v>0.9999347083831542</v>
      </c>
      <c r="GK27" s="455"/>
      <c r="GL27" s="455">
        <f>CZ27/J27</f>
        <v>0.9999347083831542</v>
      </c>
      <c r="GM27" s="455"/>
      <c r="GN27" s="455"/>
    </row>
    <row r="28" spans="1:196" s="456" customFormat="1" ht="15" customHeight="1" hidden="1">
      <c r="A28" s="452"/>
      <c r="B28" s="453" t="s">
        <v>250</v>
      </c>
      <c r="C28" s="457">
        <f>D28+J28+AY28+CD28</f>
        <v>0</v>
      </c>
      <c r="D28" s="457">
        <f>SUM(E28:I28)</f>
        <v>0</v>
      </c>
      <c r="E28" s="457"/>
      <c r="F28" s="457"/>
      <c r="G28" s="457"/>
      <c r="H28" s="457"/>
      <c r="I28" s="457"/>
      <c r="J28" s="457">
        <f>SUM(K28:AX28)</f>
        <v>0</v>
      </c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  <c r="AA28" s="457"/>
      <c r="AB28" s="457"/>
      <c r="AC28" s="457"/>
      <c r="AD28" s="457"/>
      <c r="AE28" s="457"/>
      <c r="AF28" s="457"/>
      <c r="AG28" s="457"/>
      <c r="AH28" s="457"/>
      <c r="AI28" s="457"/>
      <c r="AJ28" s="457"/>
      <c r="AK28" s="457"/>
      <c r="AL28" s="457"/>
      <c r="AM28" s="457"/>
      <c r="AN28" s="457"/>
      <c r="AO28" s="457"/>
      <c r="AP28" s="457"/>
      <c r="AQ28" s="457"/>
      <c r="AR28" s="457"/>
      <c r="AS28" s="457"/>
      <c r="AT28" s="457"/>
      <c r="AU28" s="457"/>
      <c r="AV28" s="457"/>
      <c r="AW28" s="457"/>
      <c r="AX28" s="457"/>
      <c r="AY28" s="457">
        <f>SUM(AZ28:BA28)</f>
        <v>0</v>
      </c>
      <c r="AZ28" s="457">
        <f>SUM(BB28:BI28)+SUM(BQ28:BX28)</f>
        <v>0</v>
      </c>
      <c r="BA28" s="457">
        <f>SUM(BJ28:BP28)+SUM(BY28:CC28)</f>
        <v>0</v>
      </c>
      <c r="BB28" s="457"/>
      <c r="BC28" s="457"/>
      <c r="BD28" s="457"/>
      <c r="BE28" s="457"/>
      <c r="BF28" s="457"/>
      <c r="BG28" s="457"/>
      <c r="BH28" s="457"/>
      <c r="BI28" s="457"/>
      <c r="BJ28" s="457"/>
      <c r="BK28" s="457"/>
      <c r="BL28" s="457"/>
      <c r="BM28" s="457"/>
      <c r="BN28" s="457"/>
      <c r="BO28" s="457"/>
      <c r="BP28" s="457"/>
      <c r="BQ28" s="457"/>
      <c r="BR28" s="457"/>
      <c r="BS28" s="457"/>
      <c r="BT28" s="457"/>
      <c r="BU28" s="457"/>
      <c r="BV28" s="457"/>
      <c r="BW28" s="457"/>
      <c r="BX28" s="457"/>
      <c r="BY28" s="457"/>
      <c r="BZ28" s="457"/>
      <c r="CA28" s="457"/>
      <c r="CB28" s="457"/>
      <c r="CC28" s="457"/>
      <c r="CD28" s="457">
        <f>SUM(CE28:CF28)</f>
        <v>0</v>
      </c>
      <c r="CE28" s="457">
        <f>SUM(CG28:CI28)</f>
        <v>0</v>
      </c>
      <c r="CF28" s="457">
        <f>SUM(CJ28:CQ28)</f>
        <v>0</v>
      </c>
      <c r="CG28" s="457"/>
      <c r="CH28" s="457"/>
      <c r="CI28" s="457"/>
      <c r="CJ28" s="457"/>
      <c r="CK28" s="457"/>
      <c r="CL28" s="457"/>
      <c r="CM28" s="457"/>
      <c r="CN28" s="457"/>
      <c r="CO28" s="457"/>
      <c r="CP28" s="457"/>
      <c r="CQ28" s="457"/>
      <c r="CR28" s="453" t="s">
        <v>250</v>
      </c>
      <c r="CS28" s="457">
        <f>CT28+CZ28+EO28+FT28+GH28</f>
        <v>0</v>
      </c>
      <c r="CT28" s="457">
        <f>SUM(CU28:CY28)</f>
        <v>0</v>
      </c>
      <c r="CU28" s="457"/>
      <c r="CV28" s="457"/>
      <c r="CW28" s="457"/>
      <c r="CX28" s="457"/>
      <c r="CY28" s="457"/>
      <c r="CZ28" s="457">
        <f>SUM(DA28:EN28)</f>
        <v>0</v>
      </c>
      <c r="DA28" s="457"/>
      <c r="DB28" s="457"/>
      <c r="DC28" s="457"/>
      <c r="DD28" s="457"/>
      <c r="DE28" s="457"/>
      <c r="DF28" s="457"/>
      <c r="DG28" s="457"/>
      <c r="DH28" s="457"/>
      <c r="DI28" s="457"/>
      <c r="DJ28" s="457"/>
      <c r="DK28" s="457"/>
      <c r="DL28" s="457"/>
      <c r="DM28" s="457"/>
      <c r="DN28" s="457"/>
      <c r="DO28" s="457"/>
      <c r="DP28" s="457"/>
      <c r="DQ28" s="457"/>
      <c r="DR28" s="457"/>
      <c r="DS28" s="457"/>
      <c r="DT28" s="457"/>
      <c r="DU28" s="457"/>
      <c r="DV28" s="457"/>
      <c r="DW28" s="457"/>
      <c r="DX28" s="457"/>
      <c r="DY28" s="457"/>
      <c r="DZ28" s="457"/>
      <c r="EA28" s="457"/>
      <c r="EB28" s="457"/>
      <c r="EC28" s="457"/>
      <c r="ED28" s="457"/>
      <c r="EE28" s="457"/>
      <c r="EF28" s="457"/>
      <c r="EG28" s="457"/>
      <c r="EH28" s="457"/>
      <c r="EI28" s="457"/>
      <c r="EJ28" s="457"/>
      <c r="EK28" s="457"/>
      <c r="EL28" s="457"/>
      <c r="EM28" s="457"/>
      <c r="EN28" s="457"/>
      <c r="EO28" s="457">
        <f>SUM(EP28:EQ28)</f>
        <v>0</v>
      </c>
      <c r="EP28" s="457">
        <f>SUM(ER28:EY28)+SUM(FG28:FN28)</f>
        <v>0</v>
      </c>
      <c r="EQ28" s="457">
        <f>SUM(EZ28:FF28)+SUM(FO28:FS28)</f>
        <v>0</v>
      </c>
      <c r="ER28" s="457"/>
      <c r="ES28" s="457"/>
      <c r="ET28" s="457"/>
      <c r="EU28" s="457"/>
      <c r="EV28" s="457"/>
      <c r="EW28" s="457"/>
      <c r="EX28" s="457"/>
      <c r="EY28" s="457"/>
      <c r="EZ28" s="457"/>
      <c r="FA28" s="457"/>
      <c r="FB28" s="457"/>
      <c r="FC28" s="457"/>
      <c r="FD28" s="457"/>
      <c r="FE28" s="457"/>
      <c r="FF28" s="457"/>
      <c r="FG28" s="457"/>
      <c r="FH28" s="457"/>
      <c r="FI28" s="457"/>
      <c r="FJ28" s="457"/>
      <c r="FK28" s="457"/>
      <c r="FL28" s="457"/>
      <c r="FM28" s="457"/>
      <c r="FN28" s="457"/>
      <c r="FO28" s="457"/>
      <c r="FP28" s="457"/>
      <c r="FQ28" s="457"/>
      <c r="FR28" s="457"/>
      <c r="FS28" s="457"/>
      <c r="FT28" s="457">
        <f>SUM(FU28:FV28)</f>
        <v>0</v>
      </c>
      <c r="FU28" s="457">
        <f>SUM(FW28:FY28)</f>
        <v>0</v>
      </c>
      <c r="FV28" s="457">
        <f>SUM(FZ28:GG28)</f>
        <v>0</v>
      </c>
      <c r="FW28" s="457"/>
      <c r="FX28" s="457"/>
      <c r="FY28" s="457"/>
      <c r="FZ28" s="457"/>
      <c r="GA28" s="457"/>
      <c r="GB28" s="457"/>
      <c r="GC28" s="457"/>
      <c r="GD28" s="457"/>
      <c r="GE28" s="457"/>
      <c r="GF28" s="457"/>
      <c r="GG28" s="457"/>
      <c r="GH28" s="457"/>
      <c r="GI28" s="453" t="s">
        <v>250</v>
      </c>
      <c r="GJ28" s="455"/>
      <c r="GK28" s="455"/>
      <c r="GL28" s="455"/>
      <c r="GM28" s="455"/>
      <c r="GN28" s="455"/>
    </row>
    <row r="29" spans="1:196" s="456" customFormat="1" ht="15" customHeight="1" hidden="1">
      <c r="A29" s="452"/>
      <c r="B29" s="453" t="s">
        <v>251</v>
      </c>
      <c r="C29" s="457">
        <f>D29+J29+AY29+CD29</f>
        <v>1841461520</v>
      </c>
      <c r="D29" s="457">
        <f>SUM(E29:I29)</f>
        <v>0</v>
      </c>
      <c r="E29" s="457"/>
      <c r="F29" s="457"/>
      <c r="G29" s="457"/>
      <c r="H29" s="457"/>
      <c r="I29" s="457"/>
      <c r="J29" s="457">
        <f>SUM(K29:AX29)</f>
        <v>1841461520</v>
      </c>
      <c r="K29" s="457"/>
      <c r="L29" s="457"/>
      <c r="M29" s="457"/>
      <c r="N29" s="457"/>
      <c r="O29" s="457"/>
      <c r="P29" s="457"/>
      <c r="Q29" s="457"/>
      <c r="R29" s="457"/>
      <c r="S29" s="457"/>
      <c r="T29" s="457">
        <v>61102000</v>
      </c>
      <c r="U29" s="457"/>
      <c r="V29" s="457"/>
      <c r="W29" s="457"/>
      <c r="X29" s="457"/>
      <c r="Y29" s="457"/>
      <c r="Z29" s="457"/>
      <c r="AA29" s="457"/>
      <c r="AB29" s="457"/>
      <c r="AC29" s="457"/>
      <c r="AD29" s="457"/>
      <c r="AE29" s="457"/>
      <c r="AF29" s="457"/>
      <c r="AG29" s="457"/>
      <c r="AH29" s="457"/>
      <c r="AI29" s="457"/>
      <c r="AJ29" s="457"/>
      <c r="AK29" s="457"/>
      <c r="AL29" s="457"/>
      <c r="AM29" s="457"/>
      <c r="AN29" s="457"/>
      <c r="AO29" s="457"/>
      <c r="AP29" s="457"/>
      <c r="AQ29" s="457"/>
      <c r="AR29" s="457"/>
      <c r="AS29" s="457"/>
      <c r="AT29" s="457"/>
      <c r="AU29" s="457">
        <v>1780359520</v>
      </c>
      <c r="AV29" s="457"/>
      <c r="AW29" s="457"/>
      <c r="AX29" s="457"/>
      <c r="AY29" s="457">
        <f>SUM(AZ29:BA29)</f>
        <v>0</v>
      </c>
      <c r="AZ29" s="457">
        <f>SUM(BB29:BI29)+SUM(BQ29:BX29)</f>
        <v>0</v>
      </c>
      <c r="BA29" s="457">
        <f>SUM(BJ29:BP29)+SUM(BY29:CC29)</f>
        <v>0</v>
      </c>
      <c r="BB29" s="457"/>
      <c r="BC29" s="457"/>
      <c r="BD29" s="457"/>
      <c r="BE29" s="457"/>
      <c r="BF29" s="457"/>
      <c r="BG29" s="457"/>
      <c r="BH29" s="457"/>
      <c r="BI29" s="457"/>
      <c r="BJ29" s="457"/>
      <c r="BK29" s="457"/>
      <c r="BL29" s="457"/>
      <c r="BM29" s="457"/>
      <c r="BN29" s="457"/>
      <c r="BO29" s="457"/>
      <c r="BP29" s="457"/>
      <c r="BQ29" s="457"/>
      <c r="BR29" s="457"/>
      <c r="BS29" s="457"/>
      <c r="BT29" s="457"/>
      <c r="BU29" s="457"/>
      <c r="BV29" s="457"/>
      <c r="BW29" s="457"/>
      <c r="BX29" s="457"/>
      <c r="BY29" s="457"/>
      <c r="BZ29" s="457"/>
      <c r="CA29" s="457"/>
      <c r="CB29" s="457"/>
      <c r="CC29" s="457"/>
      <c r="CD29" s="457">
        <f>SUM(CE29:CF29)</f>
        <v>0</v>
      </c>
      <c r="CE29" s="457">
        <f>SUM(CG29:CI29)</f>
        <v>0</v>
      </c>
      <c r="CF29" s="457">
        <f>SUM(CJ29:CQ29)</f>
        <v>0</v>
      </c>
      <c r="CG29" s="457"/>
      <c r="CH29" s="457"/>
      <c r="CI29" s="457"/>
      <c r="CJ29" s="457"/>
      <c r="CK29" s="457"/>
      <c r="CL29" s="457"/>
      <c r="CM29" s="457"/>
      <c r="CN29" s="457"/>
      <c r="CO29" s="457"/>
      <c r="CP29" s="457"/>
      <c r="CQ29" s="457"/>
      <c r="CR29" s="453" t="s">
        <v>251</v>
      </c>
      <c r="CS29" s="457">
        <f>CT29+CZ29+EO29+FT29+GH29</f>
        <v>1841341288</v>
      </c>
      <c r="CT29" s="457">
        <f>SUM(CU29:CY29)</f>
        <v>0</v>
      </c>
      <c r="CU29" s="457"/>
      <c r="CV29" s="457"/>
      <c r="CW29" s="457"/>
      <c r="CX29" s="457"/>
      <c r="CY29" s="457"/>
      <c r="CZ29" s="457">
        <f>SUM(DA29:EN29)</f>
        <v>1841341288</v>
      </c>
      <c r="DA29" s="457"/>
      <c r="DB29" s="457"/>
      <c r="DC29" s="457"/>
      <c r="DD29" s="457"/>
      <c r="DE29" s="457"/>
      <c r="DF29" s="457"/>
      <c r="DG29" s="457"/>
      <c r="DH29" s="457"/>
      <c r="DI29" s="457"/>
      <c r="DJ29" s="457">
        <v>61102000</v>
      </c>
      <c r="DK29" s="457"/>
      <c r="DL29" s="457"/>
      <c r="DM29" s="457"/>
      <c r="DN29" s="457"/>
      <c r="DO29" s="457"/>
      <c r="DP29" s="457"/>
      <c r="DQ29" s="457"/>
      <c r="DR29" s="457"/>
      <c r="DS29" s="457"/>
      <c r="DT29" s="457"/>
      <c r="DU29" s="457"/>
      <c r="DV29" s="457"/>
      <c r="DW29" s="457"/>
      <c r="DX29" s="457"/>
      <c r="DY29" s="457"/>
      <c r="DZ29" s="457"/>
      <c r="EA29" s="457"/>
      <c r="EB29" s="457"/>
      <c r="EC29" s="457"/>
      <c r="ED29" s="457"/>
      <c r="EE29" s="457"/>
      <c r="EF29" s="457"/>
      <c r="EG29" s="457"/>
      <c r="EH29" s="457"/>
      <c r="EI29" s="457"/>
      <c r="EJ29" s="457"/>
      <c r="EK29" s="457">
        <v>1780239288</v>
      </c>
      <c r="EL29" s="457"/>
      <c r="EM29" s="457"/>
      <c r="EN29" s="457"/>
      <c r="EO29" s="457">
        <f>SUM(EP29:EQ29)</f>
        <v>0</v>
      </c>
      <c r="EP29" s="457">
        <f>SUM(ER29:EY29)+SUM(FG29:FN29)</f>
        <v>0</v>
      </c>
      <c r="EQ29" s="457">
        <f>SUM(EZ29:FF29)+SUM(FO29:FS29)</f>
        <v>0</v>
      </c>
      <c r="ER29" s="457"/>
      <c r="ES29" s="457"/>
      <c r="ET29" s="457"/>
      <c r="EU29" s="457"/>
      <c r="EV29" s="457"/>
      <c r="EW29" s="457"/>
      <c r="EX29" s="457"/>
      <c r="EY29" s="457"/>
      <c r="EZ29" s="457"/>
      <c r="FA29" s="457"/>
      <c r="FB29" s="457"/>
      <c r="FC29" s="457"/>
      <c r="FD29" s="457"/>
      <c r="FE29" s="457"/>
      <c r="FF29" s="457"/>
      <c r="FG29" s="457"/>
      <c r="FH29" s="457"/>
      <c r="FI29" s="457"/>
      <c r="FJ29" s="457"/>
      <c r="FK29" s="457"/>
      <c r="FL29" s="457"/>
      <c r="FM29" s="457"/>
      <c r="FN29" s="457"/>
      <c r="FO29" s="457"/>
      <c r="FP29" s="457"/>
      <c r="FQ29" s="457"/>
      <c r="FR29" s="457"/>
      <c r="FS29" s="457"/>
      <c r="FT29" s="457">
        <f>SUM(FU29:FV29)</f>
        <v>0</v>
      </c>
      <c r="FU29" s="457">
        <f>SUM(FW29:FY29)</f>
        <v>0</v>
      </c>
      <c r="FV29" s="457">
        <f>SUM(FZ29:GG29)</f>
        <v>0</v>
      </c>
      <c r="FW29" s="457"/>
      <c r="FX29" s="457"/>
      <c r="FY29" s="457"/>
      <c r="FZ29" s="457"/>
      <c r="GA29" s="457"/>
      <c r="GB29" s="457"/>
      <c r="GC29" s="457"/>
      <c r="GD29" s="457"/>
      <c r="GE29" s="457"/>
      <c r="GF29" s="457"/>
      <c r="GG29" s="457"/>
      <c r="GH29" s="457"/>
      <c r="GI29" s="453" t="s">
        <v>251</v>
      </c>
      <c r="GJ29" s="455">
        <f>CS29/C29</f>
        <v>0.9999347083831542</v>
      </c>
      <c r="GK29" s="455"/>
      <c r="GL29" s="455">
        <f>CZ29/J29</f>
        <v>0.9999347083831542</v>
      </c>
      <c r="GM29" s="455"/>
      <c r="GN29" s="455"/>
    </row>
    <row r="30" spans="1:196" s="456" customFormat="1" ht="15" customHeight="1">
      <c r="A30" s="452">
        <v>6</v>
      </c>
      <c r="B30" s="453" t="s">
        <v>256</v>
      </c>
      <c r="C30" s="457">
        <f aca="true" t="shared" si="45" ref="C30:H30">C31+C32</f>
        <v>4806958905</v>
      </c>
      <c r="D30" s="457">
        <f t="shared" si="45"/>
        <v>0</v>
      </c>
      <c r="E30" s="457">
        <f t="shared" si="45"/>
        <v>0</v>
      </c>
      <c r="F30" s="457">
        <f t="shared" si="45"/>
        <v>0</v>
      </c>
      <c r="G30" s="457">
        <f t="shared" si="45"/>
        <v>0</v>
      </c>
      <c r="H30" s="457">
        <f t="shared" si="45"/>
        <v>0</v>
      </c>
      <c r="I30" s="457">
        <f aca="true" t="shared" si="46" ref="I30:BY30">I31+I32</f>
        <v>0</v>
      </c>
      <c r="J30" s="457">
        <f>J31+J32</f>
        <v>4806958905</v>
      </c>
      <c r="K30" s="457">
        <f t="shared" si="46"/>
        <v>0</v>
      </c>
      <c r="L30" s="457">
        <f>L31+L32</f>
        <v>0</v>
      </c>
      <c r="M30" s="457">
        <f t="shared" si="46"/>
        <v>0</v>
      </c>
      <c r="N30" s="457">
        <f t="shared" si="46"/>
        <v>0</v>
      </c>
      <c r="O30" s="457">
        <f t="shared" si="46"/>
        <v>0</v>
      </c>
      <c r="P30" s="457">
        <f t="shared" si="46"/>
        <v>0</v>
      </c>
      <c r="Q30" s="457">
        <f t="shared" si="46"/>
        <v>0</v>
      </c>
      <c r="R30" s="457">
        <f t="shared" si="46"/>
        <v>0</v>
      </c>
      <c r="S30" s="457">
        <f>S31+S32</f>
        <v>0</v>
      </c>
      <c r="T30" s="457">
        <f t="shared" si="46"/>
        <v>0</v>
      </c>
      <c r="U30" s="457">
        <f t="shared" si="46"/>
        <v>0</v>
      </c>
      <c r="V30" s="457">
        <f>V31+V32</f>
        <v>0</v>
      </c>
      <c r="W30" s="457">
        <f>W31+W32</f>
        <v>0</v>
      </c>
      <c r="X30" s="457">
        <f t="shared" si="46"/>
        <v>0</v>
      </c>
      <c r="Y30" s="457">
        <f t="shared" si="46"/>
        <v>0</v>
      </c>
      <c r="Z30" s="457">
        <f t="shared" si="46"/>
        <v>0</v>
      </c>
      <c r="AA30" s="457">
        <f t="shared" si="46"/>
        <v>0</v>
      </c>
      <c r="AB30" s="457">
        <f t="shared" si="46"/>
        <v>0</v>
      </c>
      <c r="AC30" s="457">
        <f t="shared" si="46"/>
        <v>0</v>
      </c>
      <c r="AD30" s="457">
        <f t="shared" si="46"/>
        <v>0</v>
      </c>
      <c r="AE30" s="457">
        <f t="shared" si="46"/>
        <v>0</v>
      </c>
      <c r="AF30" s="457">
        <f t="shared" si="46"/>
        <v>0</v>
      </c>
      <c r="AG30" s="457">
        <f>AG31+AG32</f>
        <v>0</v>
      </c>
      <c r="AH30" s="457">
        <f t="shared" si="46"/>
        <v>0</v>
      </c>
      <c r="AI30" s="457">
        <f t="shared" si="46"/>
        <v>0</v>
      </c>
      <c r="AJ30" s="457">
        <f t="shared" si="46"/>
        <v>0</v>
      </c>
      <c r="AK30" s="457">
        <f t="shared" si="46"/>
        <v>0</v>
      </c>
      <c r="AL30" s="457">
        <f t="shared" si="46"/>
        <v>0</v>
      </c>
      <c r="AM30" s="457">
        <f t="shared" si="46"/>
        <v>0</v>
      </c>
      <c r="AN30" s="457">
        <f t="shared" si="46"/>
        <v>0</v>
      </c>
      <c r="AO30" s="457">
        <f t="shared" si="46"/>
        <v>875389538</v>
      </c>
      <c r="AP30" s="457">
        <f t="shared" si="46"/>
        <v>650000000</v>
      </c>
      <c r="AQ30" s="457">
        <f>AQ31+AQ32</f>
        <v>0</v>
      </c>
      <c r="AR30" s="457">
        <f>AR31+AR32</f>
        <v>0</v>
      </c>
      <c r="AS30" s="457">
        <f t="shared" si="46"/>
        <v>0</v>
      </c>
      <c r="AT30" s="457">
        <f t="shared" si="46"/>
        <v>2520500000</v>
      </c>
      <c r="AU30" s="457">
        <f t="shared" si="46"/>
        <v>761069367</v>
      </c>
      <c r="AV30" s="457">
        <f>AV31+AV32</f>
        <v>0</v>
      </c>
      <c r="AW30" s="457">
        <f t="shared" si="46"/>
        <v>0</v>
      </c>
      <c r="AX30" s="457">
        <f t="shared" si="46"/>
        <v>0</v>
      </c>
      <c r="AY30" s="457">
        <f>AY31+AY32</f>
        <v>0</v>
      </c>
      <c r="AZ30" s="457">
        <f>AZ31+AZ32</f>
        <v>0</v>
      </c>
      <c r="BA30" s="457">
        <f>BA31+BA32</f>
        <v>0</v>
      </c>
      <c r="BB30" s="457">
        <f t="shared" si="46"/>
        <v>0</v>
      </c>
      <c r="BC30" s="457">
        <f t="shared" si="46"/>
        <v>0</v>
      </c>
      <c r="BD30" s="457">
        <f t="shared" si="46"/>
        <v>0</v>
      </c>
      <c r="BE30" s="457">
        <f t="shared" si="46"/>
        <v>0</v>
      </c>
      <c r="BF30" s="457">
        <f t="shared" si="46"/>
        <v>0</v>
      </c>
      <c r="BG30" s="457">
        <f t="shared" si="46"/>
        <v>0</v>
      </c>
      <c r="BH30" s="457">
        <f t="shared" si="46"/>
        <v>0</v>
      </c>
      <c r="BI30" s="457">
        <f>BI31+BI32</f>
        <v>0</v>
      </c>
      <c r="BJ30" s="457">
        <f t="shared" si="46"/>
        <v>0</v>
      </c>
      <c r="BK30" s="457">
        <f t="shared" si="46"/>
        <v>0</v>
      </c>
      <c r="BL30" s="457">
        <f t="shared" si="46"/>
        <v>0</v>
      </c>
      <c r="BM30" s="457">
        <f t="shared" si="46"/>
        <v>0</v>
      </c>
      <c r="BN30" s="457">
        <f>BN31+BN32</f>
        <v>0</v>
      </c>
      <c r="BO30" s="457">
        <f t="shared" si="46"/>
        <v>0</v>
      </c>
      <c r="BP30" s="457">
        <f t="shared" si="46"/>
        <v>0</v>
      </c>
      <c r="BQ30" s="457">
        <f t="shared" si="46"/>
        <v>0</v>
      </c>
      <c r="BR30" s="457">
        <f t="shared" si="46"/>
        <v>0</v>
      </c>
      <c r="BS30" s="457">
        <f t="shared" si="46"/>
        <v>0</v>
      </c>
      <c r="BT30" s="457">
        <f t="shared" si="46"/>
        <v>0</v>
      </c>
      <c r="BU30" s="457">
        <f t="shared" si="46"/>
        <v>0</v>
      </c>
      <c r="BV30" s="457">
        <f t="shared" si="46"/>
        <v>0</v>
      </c>
      <c r="BW30" s="457">
        <f t="shared" si="46"/>
        <v>0</v>
      </c>
      <c r="BX30" s="457">
        <f t="shared" si="46"/>
        <v>0</v>
      </c>
      <c r="BY30" s="457">
        <f t="shared" si="46"/>
        <v>0</v>
      </c>
      <c r="BZ30" s="457">
        <f aca="true" t="shared" si="47" ref="BZ30:CP30">BZ31+BZ32</f>
        <v>0</v>
      </c>
      <c r="CA30" s="457">
        <f>CA31+CA32</f>
        <v>0</v>
      </c>
      <c r="CB30" s="457">
        <f t="shared" si="47"/>
        <v>0</v>
      </c>
      <c r="CC30" s="457">
        <f t="shared" si="47"/>
        <v>0</v>
      </c>
      <c r="CD30" s="457">
        <f t="shared" si="47"/>
        <v>0</v>
      </c>
      <c r="CE30" s="457">
        <f>CE31+CE32</f>
        <v>0</v>
      </c>
      <c r="CF30" s="457">
        <f>CF31+CF32</f>
        <v>0</v>
      </c>
      <c r="CG30" s="457">
        <f t="shared" si="47"/>
        <v>0</v>
      </c>
      <c r="CH30" s="457">
        <f>CH31+CH32</f>
        <v>0</v>
      </c>
      <c r="CI30" s="457">
        <f>CI31+CI32</f>
        <v>0</v>
      </c>
      <c r="CJ30" s="457">
        <f t="shared" si="47"/>
        <v>0</v>
      </c>
      <c r="CK30" s="457">
        <f t="shared" si="47"/>
        <v>0</v>
      </c>
      <c r="CL30" s="457">
        <f t="shared" si="47"/>
        <v>0</v>
      </c>
      <c r="CM30" s="457">
        <f t="shared" si="47"/>
        <v>0</v>
      </c>
      <c r="CN30" s="457">
        <f t="shared" si="47"/>
        <v>0</v>
      </c>
      <c r="CO30" s="457">
        <f t="shared" si="47"/>
        <v>0</v>
      </c>
      <c r="CP30" s="457">
        <f t="shared" si="47"/>
        <v>0</v>
      </c>
      <c r="CQ30" s="457">
        <f>CQ31+CQ32</f>
        <v>0</v>
      </c>
      <c r="CR30" s="453" t="s">
        <v>256</v>
      </c>
      <c r="CS30" s="457">
        <f aca="true" t="shared" si="48" ref="CS30:FI30">CS31+CS32</f>
        <v>4806843905</v>
      </c>
      <c r="CT30" s="457">
        <f t="shared" si="48"/>
        <v>0</v>
      </c>
      <c r="CU30" s="457">
        <f t="shared" si="48"/>
        <v>0</v>
      </c>
      <c r="CV30" s="457">
        <f>CV31+CV32</f>
        <v>0</v>
      </c>
      <c r="CW30" s="457">
        <f>CW31+CW32</f>
        <v>0</v>
      </c>
      <c r="CX30" s="457">
        <f>CX31+CX32</f>
        <v>0</v>
      </c>
      <c r="CY30" s="457">
        <f t="shared" si="48"/>
        <v>0</v>
      </c>
      <c r="CZ30" s="457">
        <f t="shared" si="48"/>
        <v>4156843905</v>
      </c>
      <c r="DA30" s="457">
        <f t="shared" si="48"/>
        <v>0</v>
      </c>
      <c r="DB30" s="457">
        <f>DB31+DB32</f>
        <v>0</v>
      </c>
      <c r="DC30" s="457">
        <f t="shared" si="48"/>
        <v>0</v>
      </c>
      <c r="DD30" s="457">
        <f t="shared" si="48"/>
        <v>0</v>
      </c>
      <c r="DE30" s="457">
        <f t="shared" si="48"/>
        <v>0</v>
      </c>
      <c r="DF30" s="457">
        <f t="shared" si="48"/>
        <v>0</v>
      </c>
      <c r="DG30" s="457">
        <f t="shared" si="48"/>
        <v>0</v>
      </c>
      <c r="DH30" s="457">
        <f t="shared" si="48"/>
        <v>0</v>
      </c>
      <c r="DI30" s="457">
        <f>DI31+DI32</f>
        <v>0</v>
      </c>
      <c r="DJ30" s="457">
        <f t="shared" si="48"/>
        <v>0</v>
      </c>
      <c r="DK30" s="457">
        <f t="shared" si="48"/>
        <v>0</v>
      </c>
      <c r="DL30" s="457">
        <f>DL31+DL32</f>
        <v>0</v>
      </c>
      <c r="DM30" s="457">
        <f>DM31+DM32</f>
        <v>0</v>
      </c>
      <c r="DN30" s="457">
        <f t="shared" si="48"/>
        <v>0</v>
      </c>
      <c r="DO30" s="457">
        <f t="shared" si="48"/>
        <v>0</v>
      </c>
      <c r="DP30" s="457">
        <f t="shared" si="48"/>
        <v>0</v>
      </c>
      <c r="DQ30" s="457">
        <f t="shared" si="48"/>
        <v>0</v>
      </c>
      <c r="DR30" s="457">
        <f t="shared" si="48"/>
        <v>0</v>
      </c>
      <c r="DS30" s="457">
        <f t="shared" si="48"/>
        <v>0</v>
      </c>
      <c r="DT30" s="457">
        <f t="shared" si="48"/>
        <v>0</v>
      </c>
      <c r="DU30" s="457">
        <f t="shared" si="48"/>
        <v>0</v>
      </c>
      <c r="DV30" s="457">
        <f t="shared" si="48"/>
        <v>0</v>
      </c>
      <c r="DW30" s="457">
        <f>DW31+DW32</f>
        <v>0</v>
      </c>
      <c r="DX30" s="457">
        <f t="shared" si="48"/>
        <v>0</v>
      </c>
      <c r="DY30" s="457">
        <f t="shared" si="48"/>
        <v>0</v>
      </c>
      <c r="DZ30" s="457">
        <f t="shared" si="48"/>
        <v>0</v>
      </c>
      <c r="EA30" s="457">
        <f t="shared" si="48"/>
        <v>0</v>
      </c>
      <c r="EB30" s="457">
        <f t="shared" si="48"/>
        <v>0</v>
      </c>
      <c r="EC30" s="457">
        <f t="shared" si="48"/>
        <v>0</v>
      </c>
      <c r="ED30" s="457">
        <f t="shared" si="48"/>
        <v>0</v>
      </c>
      <c r="EE30" s="457">
        <f t="shared" si="48"/>
        <v>875389538</v>
      </c>
      <c r="EF30" s="457">
        <f t="shared" si="48"/>
        <v>0</v>
      </c>
      <c r="EG30" s="457">
        <f>EG31+EG32</f>
        <v>0</v>
      </c>
      <c r="EH30" s="457">
        <f>EH31+EH32</f>
        <v>0</v>
      </c>
      <c r="EI30" s="457">
        <f t="shared" si="48"/>
        <v>0</v>
      </c>
      <c r="EJ30" s="457">
        <f t="shared" si="48"/>
        <v>2520500000</v>
      </c>
      <c r="EK30" s="457">
        <f t="shared" si="48"/>
        <v>760954367</v>
      </c>
      <c r="EL30" s="457">
        <f>EL31+EL32</f>
        <v>0</v>
      </c>
      <c r="EM30" s="457">
        <f t="shared" si="48"/>
        <v>0</v>
      </c>
      <c r="EN30" s="457">
        <f t="shared" si="48"/>
        <v>0</v>
      </c>
      <c r="EO30" s="457">
        <f t="shared" si="48"/>
        <v>0</v>
      </c>
      <c r="EP30" s="457">
        <f t="shared" si="48"/>
        <v>0</v>
      </c>
      <c r="EQ30" s="457">
        <f t="shared" si="48"/>
        <v>0</v>
      </c>
      <c r="ER30" s="457">
        <f t="shared" si="48"/>
        <v>0</v>
      </c>
      <c r="ES30" s="457">
        <f t="shared" si="48"/>
        <v>0</v>
      </c>
      <c r="ET30" s="457">
        <f t="shared" si="48"/>
        <v>0</v>
      </c>
      <c r="EU30" s="457">
        <f t="shared" si="48"/>
        <v>0</v>
      </c>
      <c r="EV30" s="457">
        <f t="shared" si="48"/>
        <v>0</v>
      </c>
      <c r="EW30" s="457">
        <f t="shared" si="48"/>
        <v>0</v>
      </c>
      <c r="EX30" s="457">
        <f t="shared" si="48"/>
        <v>0</v>
      </c>
      <c r="EY30" s="457">
        <f>EY31+EY32</f>
        <v>0</v>
      </c>
      <c r="EZ30" s="457">
        <f t="shared" si="48"/>
        <v>0</v>
      </c>
      <c r="FA30" s="457">
        <f t="shared" si="48"/>
        <v>0</v>
      </c>
      <c r="FB30" s="457">
        <f t="shared" si="48"/>
        <v>0</v>
      </c>
      <c r="FC30" s="457">
        <f t="shared" si="48"/>
        <v>0</v>
      </c>
      <c r="FD30" s="457">
        <f>FD31+FD32</f>
        <v>0</v>
      </c>
      <c r="FE30" s="457">
        <f t="shared" si="48"/>
        <v>0</v>
      </c>
      <c r="FF30" s="457">
        <f t="shared" si="48"/>
        <v>0</v>
      </c>
      <c r="FG30" s="457">
        <f t="shared" si="48"/>
        <v>0</v>
      </c>
      <c r="FH30" s="457">
        <f t="shared" si="48"/>
        <v>0</v>
      </c>
      <c r="FI30" s="457">
        <f t="shared" si="48"/>
        <v>0</v>
      </c>
      <c r="FJ30" s="457">
        <f aca="true" t="shared" si="49" ref="FJ30:GF30">FJ31+FJ32</f>
        <v>0</v>
      </c>
      <c r="FK30" s="457">
        <f t="shared" si="49"/>
        <v>0</v>
      </c>
      <c r="FL30" s="457">
        <f t="shared" si="49"/>
        <v>0</v>
      </c>
      <c r="FM30" s="457">
        <f t="shared" si="49"/>
        <v>0</v>
      </c>
      <c r="FN30" s="457">
        <f t="shared" si="49"/>
        <v>0</v>
      </c>
      <c r="FO30" s="457">
        <f t="shared" si="49"/>
        <v>0</v>
      </c>
      <c r="FP30" s="457">
        <f t="shared" si="49"/>
        <v>0</v>
      </c>
      <c r="FQ30" s="457">
        <f>FQ31+FQ32</f>
        <v>0</v>
      </c>
      <c r="FR30" s="457">
        <f t="shared" si="49"/>
        <v>0</v>
      </c>
      <c r="FS30" s="457">
        <f t="shared" si="49"/>
        <v>0</v>
      </c>
      <c r="FT30" s="457">
        <f t="shared" si="49"/>
        <v>0</v>
      </c>
      <c r="FU30" s="457">
        <f t="shared" si="49"/>
        <v>0</v>
      </c>
      <c r="FV30" s="457">
        <f t="shared" si="49"/>
        <v>0</v>
      </c>
      <c r="FW30" s="457">
        <f t="shared" si="49"/>
        <v>0</v>
      </c>
      <c r="FX30" s="457">
        <f>FX31+FX32</f>
        <v>0</v>
      </c>
      <c r="FY30" s="457"/>
      <c r="FZ30" s="457">
        <f t="shared" si="49"/>
        <v>0</v>
      </c>
      <c r="GA30" s="457">
        <f t="shared" si="49"/>
        <v>0</v>
      </c>
      <c r="GB30" s="457">
        <f t="shared" si="49"/>
        <v>0</v>
      </c>
      <c r="GC30" s="457">
        <f t="shared" si="49"/>
        <v>0</v>
      </c>
      <c r="GD30" s="457">
        <f t="shared" si="49"/>
        <v>0</v>
      </c>
      <c r="GE30" s="457">
        <f t="shared" si="49"/>
        <v>0</v>
      </c>
      <c r="GF30" s="457">
        <f t="shared" si="49"/>
        <v>0</v>
      </c>
      <c r="GG30" s="457">
        <f>GG31+GG32</f>
        <v>0</v>
      </c>
      <c r="GH30" s="457">
        <f>GH31+GH32</f>
        <v>650000000</v>
      </c>
      <c r="GI30" s="453" t="s">
        <v>256</v>
      </c>
      <c r="GJ30" s="455">
        <f>CS30/C30</f>
        <v>0.9999760763505009</v>
      </c>
      <c r="GK30" s="455"/>
      <c r="GL30" s="455">
        <f>CZ30/J30</f>
        <v>0.8647554487466541</v>
      </c>
      <c r="GM30" s="455"/>
      <c r="GN30" s="455"/>
    </row>
    <row r="31" spans="1:196" s="456" customFormat="1" ht="15" customHeight="1" hidden="1">
      <c r="A31" s="452"/>
      <c r="B31" s="453" t="s">
        <v>250</v>
      </c>
      <c r="C31" s="457">
        <f>D31+J31+AY31+CD31</f>
        <v>0</v>
      </c>
      <c r="D31" s="457">
        <f>SUM(E31:I31)</f>
        <v>0</v>
      </c>
      <c r="E31" s="457"/>
      <c r="F31" s="457"/>
      <c r="G31" s="457"/>
      <c r="H31" s="457"/>
      <c r="I31" s="457"/>
      <c r="J31" s="457">
        <f>SUM(K31:AX31)</f>
        <v>0</v>
      </c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  <c r="AA31" s="457"/>
      <c r="AB31" s="457"/>
      <c r="AC31" s="457"/>
      <c r="AD31" s="457"/>
      <c r="AE31" s="457"/>
      <c r="AF31" s="457"/>
      <c r="AG31" s="457"/>
      <c r="AH31" s="457"/>
      <c r="AI31" s="457"/>
      <c r="AJ31" s="457"/>
      <c r="AK31" s="457"/>
      <c r="AL31" s="457"/>
      <c r="AM31" s="457"/>
      <c r="AN31" s="457"/>
      <c r="AO31" s="457"/>
      <c r="AP31" s="457"/>
      <c r="AQ31" s="457"/>
      <c r="AR31" s="457"/>
      <c r="AS31" s="457"/>
      <c r="AT31" s="457"/>
      <c r="AU31" s="457"/>
      <c r="AV31" s="457"/>
      <c r="AW31" s="457"/>
      <c r="AX31" s="457"/>
      <c r="AY31" s="457">
        <f>SUM(AZ31:BA31)</f>
        <v>0</v>
      </c>
      <c r="AZ31" s="457">
        <f>SUM(BB31:BI31)+SUM(BQ31:BX31)</f>
        <v>0</v>
      </c>
      <c r="BA31" s="457">
        <f>SUM(BJ31:BP31)+SUM(BY31:CC31)</f>
        <v>0</v>
      </c>
      <c r="BB31" s="457"/>
      <c r="BC31" s="457"/>
      <c r="BD31" s="457"/>
      <c r="BE31" s="457"/>
      <c r="BF31" s="457"/>
      <c r="BG31" s="457"/>
      <c r="BH31" s="457"/>
      <c r="BI31" s="457"/>
      <c r="BJ31" s="457"/>
      <c r="BK31" s="457"/>
      <c r="BL31" s="457"/>
      <c r="BM31" s="457"/>
      <c r="BN31" s="457"/>
      <c r="BO31" s="457"/>
      <c r="BP31" s="457"/>
      <c r="BQ31" s="457"/>
      <c r="BR31" s="457"/>
      <c r="BS31" s="457"/>
      <c r="BT31" s="457"/>
      <c r="BU31" s="457"/>
      <c r="BV31" s="457"/>
      <c r="BW31" s="457"/>
      <c r="BX31" s="457"/>
      <c r="BY31" s="457"/>
      <c r="BZ31" s="457"/>
      <c r="CA31" s="457"/>
      <c r="CB31" s="457"/>
      <c r="CC31" s="457"/>
      <c r="CD31" s="457">
        <f>SUM(CE31:CF31)</f>
        <v>0</v>
      </c>
      <c r="CE31" s="457">
        <f>SUM(CG31:CI31)</f>
        <v>0</v>
      </c>
      <c r="CF31" s="457">
        <f>SUM(CJ31:CQ31)</f>
        <v>0</v>
      </c>
      <c r="CG31" s="457"/>
      <c r="CH31" s="457"/>
      <c r="CI31" s="457"/>
      <c r="CJ31" s="457"/>
      <c r="CK31" s="457"/>
      <c r="CL31" s="457"/>
      <c r="CM31" s="457"/>
      <c r="CN31" s="457"/>
      <c r="CO31" s="457"/>
      <c r="CP31" s="457"/>
      <c r="CQ31" s="457"/>
      <c r="CR31" s="453" t="s">
        <v>250</v>
      </c>
      <c r="CS31" s="457">
        <f>CT31+CZ31+EO31+FT31+GH31</f>
        <v>0</v>
      </c>
      <c r="CT31" s="457">
        <f>SUM(CU31:CY31)</f>
        <v>0</v>
      </c>
      <c r="CU31" s="457"/>
      <c r="CV31" s="457"/>
      <c r="CW31" s="457"/>
      <c r="CX31" s="457"/>
      <c r="CY31" s="457"/>
      <c r="CZ31" s="457">
        <f>SUM(DA31:EN31)</f>
        <v>0</v>
      </c>
      <c r="DA31" s="457"/>
      <c r="DB31" s="457"/>
      <c r="DC31" s="457"/>
      <c r="DD31" s="457"/>
      <c r="DE31" s="457"/>
      <c r="DF31" s="457"/>
      <c r="DG31" s="457"/>
      <c r="DH31" s="457"/>
      <c r="DI31" s="457"/>
      <c r="DJ31" s="457"/>
      <c r="DK31" s="457"/>
      <c r="DL31" s="457"/>
      <c r="DM31" s="457"/>
      <c r="DN31" s="457"/>
      <c r="DO31" s="457"/>
      <c r="DP31" s="457"/>
      <c r="DQ31" s="457"/>
      <c r="DR31" s="457"/>
      <c r="DS31" s="457"/>
      <c r="DT31" s="457"/>
      <c r="DU31" s="457"/>
      <c r="DV31" s="457"/>
      <c r="DW31" s="457"/>
      <c r="DX31" s="457"/>
      <c r="DY31" s="457"/>
      <c r="DZ31" s="457"/>
      <c r="EA31" s="457"/>
      <c r="EB31" s="457"/>
      <c r="EC31" s="457"/>
      <c r="ED31" s="457"/>
      <c r="EE31" s="457"/>
      <c r="EF31" s="457"/>
      <c r="EG31" s="457"/>
      <c r="EH31" s="457"/>
      <c r="EI31" s="457"/>
      <c r="EJ31" s="457"/>
      <c r="EK31" s="457"/>
      <c r="EL31" s="457"/>
      <c r="EM31" s="457"/>
      <c r="EN31" s="457"/>
      <c r="EO31" s="457">
        <f>SUM(EP31:EQ31)</f>
        <v>0</v>
      </c>
      <c r="EP31" s="457">
        <f>SUM(ER31:EY31)+SUM(FG31:FN31)</f>
        <v>0</v>
      </c>
      <c r="EQ31" s="457">
        <f>SUM(EZ31:FF31)+SUM(FO31:FS31)</f>
        <v>0</v>
      </c>
      <c r="ER31" s="457"/>
      <c r="ES31" s="457"/>
      <c r="ET31" s="457"/>
      <c r="EU31" s="457"/>
      <c r="EV31" s="457"/>
      <c r="EW31" s="457"/>
      <c r="EX31" s="457"/>
      <c r="EY31" s="457"/>
      <c r="EZ31" s="457"/>
      <c r="FA31" s="457"/>
      <c r="FB31" s="457"/>
      <c r="FC31" s="457"/>
      <c r="FD31" s="457"/>
      <c r="FE31" s="457"/>
      <c r="FF31" s="457"/>
      <c r="FG31" s="457"/>
      <c r="FH31" s="457"/>
      <c r="FI31" s="457"/>
      <c r="FJ31" s="457"/>
      <c r="FK31" s="457"/>
      <c r="FL31" s="457"/>
      <c r="FM31" s="457"/>
      <c r="FN31" s="457"/>
      <c r="FO31" s="457"/>
      <c r="FP31" s="457"/>
      <c r="FQ31" s="457"/>
      <c r="FR31" s="457"/>
      <c r="FS31" s="457"/>
      <c r="FT31" s="457">
        <f>SUM(FU31:FV31)</f>
        <v>0</v>
      </c>
      <c r="FU31" s="457">
        <f>SUM(FW31:FY31)</f>
        <v>0</v>
      </c>
      <c r="FV31" s="457">
        <f>SUM(FZ31:GG31)</f>
        <v>0</v>
      </c>
      <c r="FW31" s="457"/>
      <c r="FX31" s="457"/>
      <c r="FY31" s="457"/>
      <c r="FZ31" s="457"/>
      <c r="GA31" s="457"/>
      <c r="GB31" s="457"/>
      <c r="GC31" s="457"/>
      <c r="GD31" s="457"/>
      <c r="GE31" s="457"/>
      <c r="GF31" s="457"/>
      <c r="GG31" s="457"/>
      <c r="GH31" s="457"/>
      <c r="GI31" s="453" t="s">
        <v>250</v>
      </c>
      <c r="GJ31" s="455"/>
      <c r="GK31" s="455"/>
      <c r="GL31" s="455"/>
      <c r="GM31" s="455"/>
      <c r="GN31" s="455"/>
    </row>
    <row r="32" spans="1:196" s="456" customFormat="1" ht="15" customHeight="1" hidden="1">
      <c r="A32" s="452"/>
      <c r="B32" s="453" t="s">
        <v>251</v>
      </c>
      <c r="C32" s="457">
        <f>D32+J32+AY32+CD32</f>
        <v>4806958905</v>
      </c>
      <c r="D32" s="457">
        <f>SUM(E32:I32)</f>
        <v>0</v>
      </c>
      <c r="E32" s="457"/>
      <c r="F32" s="457"/>
      <c r="G32" s="457"/>
      <c r="H32" s="457"/>
      <c r="I32" s="457"/>
      <c r="J32" s="457">
        <f>SUM(K32:AX32)</f>
        <v>4806958905</v>
      </c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7"/>
      <c r="AA32" s="457"/>
      <c r="AB32" s="457"/>
      <c r="AC32" s="457"/>
      <c r="AD32" s="457"/>
      <c r="AE32" s="457"/>
      <c r="AF32" s="457"/>
      <c r="AG32" s="457"/>
      <c r="AH32" s="457"/>
      <c r="AI32" s="457"/>
      <c r="AJ32" s="457"/>
      <c r="AK32" s="457"/>
      <c r="AL32" s="457"/>
      <c r="AM32" s="457"/>
      <c r="AN32" s="457"/>
      <c r="AO32" s="457">
        <f>973600000-98210462</f>
        <v>875389538</v>
      </c>
      <c r="AP32" s="457">
        <v>650000000</v>
      </c>
      <c r="AQ32" s="457"/>
      <c r="AR32" s="457"/>
      <c r="AS32" s="457"/>
      <c r="AT32" s="457">
        <v>2520500000</v>
      </c>
      <c r="AU32" s="457">
        <v>761069367</v>
      </c>
      <c r="AV32" s="457"/>
      <c r="AW32" s="457"/>
      <c r="AX32" s="457"/>
      <c r="AY32" s="457">
        <f>SUM(AZ32:BA32)</f>
        <v>0</v>
      </c>
      <c r="AZ32" s="457">
        <f>SUM(BB32:BI32)+SUM(BQ32:BX32)</f>
        <v>0</v>
      </c>
      <c r="BA32" s="457">
        <f>SUM(BJ32:BP32)+SUM(BY32:CC32)</f>
        <v>0</v>
      </c>
      <c r="BB32" s="457"/>
      <c r="BC32" s="457"/>
      <c r="BD32" s="457"/>
      <c r="BE32" s="457"/>
      <c r="BF32" s="457"/>
      <c r="BG32" s="457"/>
      <c r="BH32" s="457"/>
      <c r="BI32" s="457"/>
      <c r="BJ32" s="457"/>
      <c r="BK32" s="457"/>
      <c r="BL32" s="457"/>
      <c r="BM32" s="457"/>
      <c r="BN32" s="457"/>
      <c r="BO32" s="457"/>
      <c r="BP32" s="457"/>
      <c r="BQ32" s="457"/>
      <c r="BR32" s="457"/>
      <c r="BS32" s="457"/>
      <c r="BT32" s="457"/>
      <c r="BU32" s="457"/>
      <c r="BV32" s="457"/>
      <c r="BW32" s="457"/>
      <c r="BX32" s="457"/>
      <c r="BY32" s="457"/>
      <c r="BZ32" s="457"/>
      <c r="CA32" s="457"/>
      <c r="CB32" s="457"/>
      <c r="CC32" s="457"/>
      <c r="CD32" s="457">
        <f>SUM(CE32:CF32)</f>
        <v>0</v>
      </c>
      <c r="CE32" s="457">
        <f>SUM(CG32:CI32)</f>
        <v>0</v>
      </c>
      <c r="CF32" s="457">
        <f>SUM(CJ32:CQ32)</f>
        <v>0</v>
      </c>
      <c r="CG32" s="457"/>
      <c r="CH32" s="457"/>
      <c r="CI32" s="457"/>
      <c r="CJ32" s="457"/>
      <c r="CK32" s="457"/>
      <c r="CL32" s="457"/>
      <c r="CM32" s="457"/>
      <c r="CN32" s="457"/>
      <c r="CO32" s="457"/>
      <c r="CP32" s="457"/>
      <c r="CQ32" s="457"/>
      <c r="CR32" s="453" t="s">
        <v>251</v>
      </c>
      <c r="CS32" s="457">
        <f>CT32+CZ32+EO32+FT32+GH32</f>
        <v>4806843905</v>
      </c>
      <c r="CT32" s="457">
        <f>SUM(CU32:CY32)</f>
        <v>0</v>
      </c>
      <c r="CU32" s="457"/>
      <c r="CV32" s="457"/>
      <c r="CW32" s="457"/>
      <c r="CX32" s="457"/>
      <c r="CY32" s="457"/>
      <c r="CZ32" s="457">
        <f>SUM(DA32:EN32)</f>
        <v>4156843905</v>
      </c>
      <c r="DA32" s="457"/>
      <c r="DB32" s="457"/>
      <c r="DC32" s="457"/>
      <c r="DD32" s="457"/>
      <c r="DE32" s="457"/>
      <c r="DF32" s="457"/>
      <c r="DG32" s="457"/>
      <c r="DH32" s="457"/>
      <c r="DI32" s="457"/>
      <c r="DJ32" s="457"/>
      <c r="DK32" s="457"/>
      <c r="DL32" s="457"/>
      <c r="DM32" s="457"/>
      <c r="DN32" s="457"/>
      <c r="DO32" s="457"/>
      <c r="DP32" s="457"/>
      <c r="DQ32" s="457"/>
      <c r="DR32" s="457"/>
      <c r="DS32" s="457"/>
      <c r="DT32" s="457"/>
      <c r="DU32" s="457"/>
      <c r="DV32" s="457"/>
      <c r="DW32" s="457"/>
      <c r="DX32" s="457"/>
      <c r="DY32" s="457"/>
      <c r="DZ32" s="457"/>
      <c r="EA32" s="457"/>
      <c r="EB32" s="457"/>
      <c r="EC32" s="457"/>
      <c r="ED32" s="457"/>
      <c r="EE32" s="457">
        <v>875389538</v>
      </c>
      <c r="EF32" s="457"/>
      <c r="EG32" s="457"/>
      <c r="EH32" s="457"/>
      <c r="EI32" s="457"/>
      <c r="EJ32" s="457">
        <v>2520500000</v>
      </c>
      <c r="EK32" s="457">
        <v>760954367</v>
      </c>
      <c r="EL32" s="457"/>
      <c r="EM32" s="457"/>
      <c r="EN32" s="457"/>
      <c r="EO32" s="457">
        <f>SUM(EP32:EQ32)</f>
        <v>0</v>
      </c>
      <c r="EP32" s="457">
        <f>SUM(ER32:EY32)+SUM(FG32:FN32)</f>
        <v>0</v>
      </c>
      <c r="EQ32" s="457">
        <f>SUM(EZ32:FF32)+SUM(FO32:FS32)</f>
        <v>0</v>
      </c>
      <c r="ER32" s="457"/>
      <c r="ES32" s="457"/>
      <c r="ET32" s="457"/>
      <c r="EU32" s="457"/>
      <c r="EV32" s="457"/>
      <c r="EW32" s="457"/>
      <c r="EX32" s="457"/>
      <c r="EY32" s="457"/>
      <c r="EZ32" s="457"/>
      <c r="FA32" s="457"/>
      <c r="FB32" s="457"/>
      <c r="FC32" s="457"/>
      <c r="FD32" s="457"/>
      <c r="FE32" s="457"/>
      <c r="FF32" s="457"/>
      <c r="FG32" s="457"/>
      <c r="FH32" s="457"/>
      <c r="FI32" s="457"/>
      <c r="FJ32" s="457"/>
      <c r="FK32" s="457"/>
      <c r="FL32" s="457"/>
      <c r="FM32" s="457"/>
      <c r="FN32" s="457"/>
      <c r="FO32" s="457"/>
      <c r="FP32" s="457"/>
      <c r="FQ32" s="457"/>
      <c r="FR32" s="457"/>
      <c r="FS32" s="457"/>
      <c r="FT32" s="457">
        <f>SUM(FU32:FV32)</f>
        <v>0</v>
      </c>
      <c r="FU32" s="457">
        <f>SUM(FW32:FY32)</f>
        <v>0</v>
      </c>
      <c r="FV32" s="457">
        <f>SUM(FZ32:GG32)</f>
        <v>0</v>
      </c>
      <c r="FW32" s="457"/>
      <c r="FX32" s="457"/>
      <c r="FY32" s="457"/>
      <c r="FZ32" s="457"/>
      <c r="GA32" s="457"/>
      <c r="GB32" s="457"/>
      <c r="GC32" s="457"/>
      <c r="GD32" s="457"/>
      <c r="GE32" s="457"/>
      <c r="GF32" s="457"/>
      <c r="GG32" s="457"/>
      <c r="GH32" s="457">
        <v>650000000</v>
      </c>
      <c r="GI32" s="453" t="s">
        <v>251</v>
      </c>
      <c r="GJ32" s="455">
        <f>CS32/C32</f>
        <v>0.9999760763505009</v>
      </c>
      <c r="GK32" s="455"/>
      <c r="GL32" s="455">
        <f>CZ32/J32</f>
        <v>0.8647554487466541</v>
      </c>
      <c r="GM32" s="455"/>
      <c r="GN32" s="455"/>
    </row>
    <row r="33" spans="1:196" s="456" customFormat="1" ht="15" customHeight="1">
      <c r="A33" s="452">
        <v>7</v>
      </c>
      <c r="B33" s="453" t="s">
        <v>171</v>
      </c>
      <c r="C33" s="457">
        <f aca="true" t="shared" si="50" ref="C33:H33">C34+C35</f>
        <v>901956656</v>
      </c>
      <c r="D33" s="457">
        <f t="shared" si="50"/>
        <v>0</v>
      </c>
      <c r="E33" s="457">
        <f t="shared" si="50"/>
        <v>0</v>
      </c>
      <c r="F33" s="457">
        <f t="shared" si="50"/>
        <v>0</v>
      </c>
      <c r="G33" s="457">
        <f t="shared" si="50"/>
        <v>0</v>
      </c>
      <c r="H33" s="457">
        <f t="shared" si="50"/>
        <v>0</v>
      </c>
      <c r="I33" s="457">
        <f aca="true" t="shared" si="51" ref="I33:BY33">I34+I35</f>
        <v>0</v>
      </c>
      <c r="J33" s="457">
        <f>J34+J35</f>
        <v>901956656</v>
      </c>
      <c r="K33" s="457">
        <f t="shared" si="51"/>
        <v>0</v>
      </c>
      <c r="L33" s="457">
        <f>L34+L35</f>
        <v>0</v>
      </c>
      <c r="M33" s="457">
        <f t="shared" si="51"/>
        <v>0</v>
      </c>
      <c r="N33" s="457">
        <f t="shared" si="51"/>
        <v>0</v>
      </c>
      <c r="O33" s="457">
        <f t="shared" si="51"/>
        <v>0</v>
      </c>
      <c r="P33" s="457">
        <f t="shared" si="51"/>
        <v>0</v>
      </c>
      <c r="Q33" s="457">
        <f t="shared" si="51"/>
        <v>0</v>
      </c>
      <c r="R33" s="457">
        <f t="shared" si="51"/>
        <v>0</v>
      </c>
      <c r="S33" s="457">
        <f>S34+S35</f>
        <v>0</v>
      </c>
      <c r="T33" s="457">
        <f t="shared" si="51"/>
        <v>5312656</v>
      </c>
      <c r="U33" s="457">
        <f t="shared" si="51"/>
        <v>0</v>
      </c>
      <c r="V33" s="457">
        <f>V34+V35</f>
        <v>0</v>
      </c>
      <c r="W33" s="457">
        <f>W34+W35</f>
        <v>0</v>
      </c>
      <c r="X33" s="457">
        <f t="shared" si="51"/>
        <v>0</v>
      </c>
      <c r="Y33" s="457">
        <f t="shared" si="51"/>
        <v>0</v>
      </c>
      <c r="Z33" s="457">
        <f t="shared" si="51"/>
        <v>0</v>
      </c>
      <c r="AA33" s="457">
        <f t="shared" si="51"/>
        <v>0</v>
      </c>
      <c r="AB33" s="457">
        <f t="shared" si="51"/>
        <v>0</v>
      </c>
      <c r="AC33" s="457">
        <f t="shared" si="51"/>
        <v>0</v>
      </c>
      <c r="AD33" s="457">
        <f t="shared" si="51"/>
        <v>0</v>
      </c>
      <c r="AE33" s="457">
        <f t="shared" si="51"/>
        <v>0</v>
      </c>
      <c r="AF33" s="457">
        <f t="shared" si="51"/>
        <v>0</v>
      </c>
      <c r="AG33" s="457">
        <f>AG34+AG35</f>
        <v>0</v>
      </c>
      <c r="AH33" s="457">
        <f t="shared" si="51"/>
        <v>0</v>
      </c>
      <c r="AI33" s="457">
        <f t="shared" si="51"/>
        <v>0</v>
      </c>
      <c r="AJ33" s="457">
        <f t="shared" si="51"/>
        <v>0</v>
      </c>
      <c r="AK33" s="457">
        <f t="shared" si="51"/>
        <v>0</v>
      </c>
      <c r="AL33" s="457">
        <f t="shared" si="51"/>
        <v>0</v>
      </c>
      <c r="AM33" s="457">
        <f t="shared" si="51"/>
        <v>0</v>
      </c>
      <c r="AN33" s="457">
        <f t="shared" si="51"/>
        <v>0</v>
      </c>
      <c r="AO33" s="457">
        <f t="shared" si="51"/>
        <v>0</v>
      </c>
      <c r="AP33" s="457">
        <f t="shared" si="51"/>
        <v>0</v>
      </c>
      <c r="AQ33" s="457">
        <f>AQ34+AQ35</f>
        <v>0</v>
      </c>
      <c r="AR33" s="457">
        <f>AR34+AR35</f>
        <v>0</v>
      </c>
      <c r="AS33" s="457">
        <f t="shared" si="51"/>
        <v>0</v>
      </c>
      <c r="AT33" s="457">
        <f t="shared" si="51"/>
        <v>0</v>
      </c>
      <c r="AU33" s="457">
        <f t="shared" si="51"/>
        <v>896644000</v>
      </c>
      <c r="AV33" s="457">
        <f>AV34+AV35</f>
        <v>0</v>
      </c>
      <c r="AW33" s="457">
        <f t="shared" si="51"/>
        <v>0</v>
      </c>
      <c r="AX33" s="457">
        <f t="shared" si="51"/>
        <v>0</v>
      </c>
      <c r="AY33" s="457">
        <f>AY34+AY35</f>
        <v>0</v>
      </c>
      <c r="AZ33" s="457">
        <f>AZ34+AZ35</f>
        <v>0</v>
      </c>
      <c r="BA33" s="457">
        <f>BA34+BA35</f>
        <v>0</v>
      </c>
      <c r="BB33" s="457">
        <f t="shared" si="51"/>
        <v>0</v>
      </c>
      <c r="BC33" s="457">
        <f t="shared" si="51"/>
        <v>0</v>
      </c>
      <c r="BD33" s="457">
        <f t="shared" si="51"/>
        <v>0</v>
      </c>
      <c r="BE33" s="457">
        <f t="shared" si="51"/>
        <v>0</v>
      </c>
      <c r="BF33" s="457">
        <f t="shared" si="51"/>
        <v>0</v>
      </c>
      <c r="BG33" s="457">
        <f t="shared" si="51"/>
        <v>0</v>
      </c>
      <c r="BH33" s="457">
        <f t="shared" si="51"/>
        <v>0</v>
      </c>
      <c r="BI33" s="457">
        <f>BI34+BI35</f>
        <v>0</v>
      </c>
      <c r="BJ33" s="457">
        <f t="shared" si="51"/>
        <v>0</v>
      </c>
      <c r="BK33" s="457">
        <f t="shared" si="51"/>
        <v>0</v>
      </c>
      <c r="BL33" s="457">
        <f t="shared" si="51"/>
        <v>0</v>
      </c>
      <c r="BM33" s="457">
        <f t="shared" si="51"/>
        <v>0</v>
      </c>
      <c r="BN33" s="457">
        <f>BN34+BN35</f>
        <v>0</v>
      </c>
      <c r="BO33" s="457">
        <f t="shared" si="51"/>
        <v>0</v>
      </c>
      <c r="BP33" s="457">
        <f t="shared" si="51"/>
        <v>0</v>
      </c>
      <c r="BQ33" s="457">
        <f t="shared" si="51"/>
        <v>0</v>
      </c>
      <c r="BR33" s="457">
        <f t="shared" si="51"/>
        <v>0</v>
      </c>
      <c r="BS33" s="457">
        <f t="shared" si="51"/>
        <v>0</v>
      </c>
      <c r="BT33" s="457">
        <f t="shared" si="51"/>
        <v>0</v>
      </c>
      <c r="BU33" s="457">
        <f t="shared" si="51"/>
        <v>0</v>
      </c>
      <c r="BV33" s="457">
        <f t="shared" si="51"/>
        <v>0</v>
      </c>
      <c r="BW33" s="457">
        <f t="shared" si="51"/>
        <v>0</v>
      </c>
      <c r="BX33" s="457">
        <f t="shared" si="51"/>
        <v>0</v>
      </c>
      <c r="BY33" s="457">
        <f t="shared" si="51"/>
        <v>0</v>
      </c>
      <c r="BZ33" s="457">
        <f aca="true" t="shared" si="52" ref="BZ33:CP33">BZ34+BZ35</f>
        <v>0</v>
      </c>
      <c r="CA33" s="457">
        <f>CA34+CA35</f>
        <v>0</v>
      </c>
      <c r="CB33" s="457">
        <f t="shared" si="52"/>
        <v>0</v>
      </c>
      <c r="CC33" s="457">
        <f t="shared" si="52"/>
        <v>0</v>
      </c>
      <c r="CD33" s="457">
        <f t="shared" si="52"/>
        <v>0</v>
      </c>
      <c r="CE33" s="457">
        <f>CE34+CE35</f>
        <v>0</v>
      </c>
      <c r="CF33" s="457">
        <f>CF34+CF35</f>
        <v>0</v>
      </c>
      <c r="CG33" s="457">
        <f t="shared" si="52"/>
        <v>0</v>
      </c>
      <c r="CH33" s="457">
        <f>CH34+CH35</f>
        <v>0</v>
      </c>
      <c r="CI33" s="457">
        <f>CI34+CI35</f>
        <v>0</v>
      </c>
      <c r="CJ33" s="457">
        <f t="shared" si="52"/>
        <v>0</v>
      </c>
      <c r="CK33" s="457">
        <f t="shared" si="52"/>
        <v>0</v>
      </c>
      <c r="CL33" s="457">
        <f t="shared" si="52"/>
        <v>0</v>
      </c>
      <c r="CM33" s="457">
        <f t="shared" si="52"/>
        <v>0</v>
      </c>
      <c r="CN33" s="457">
        <f t="shared" si="52"/>
        <v>0</v>
      </c>
      <c r="CO33" s="457">
        <f t="shared" si="52"/>
        <v>0</v>
      </c>
      <c r="CP33" s="457">
        <f t="shared" si="52"/>
        <v>0</v>
      </c>
      <c r="CQ33" s="457">
        <f>CQ34+CQ35</f>
        <v>0</v>
      </c>
      <c r="CR33" s="453" t="s">
        <v>171</v>
      </c>
      <c r="CS33" s="457">
        <f aca="true" t="shared" si="53" ref="CS33:FI33">CS34+CS35</f>
        <v>901881656</v>
      </c>
      <c r="CT33" s="457">
        <f t="shared" si="53"/>
        <v>0</v>
      </c>
      <c r="CU33" s="457">
        <f t="shared" si="53"/>
        <v>0</v>
      </c>
      <c r="CV33" s="457">
        <f>CV34+CV35</f>
        <v>0</v>
      </c>
      <c r="CW33" s="457">
        <f>CW34+CW35</f>
        <v>0</v>
      </c>
      <c r="CX33" s="457">
        <f>CX34+CX35</f>
        <v>0</v>
      </c>
      <c r="CY33" s="457">
        <f t="shared" si="53"/>
        <v>0</v>
      </c>
      <c r="CZ33" s="457">
        <f t="shared" si="53"/>
        <v>901881656</v>
      </c>
      <c r="DA33" s="457">
        <f t="shared" si="53"/>
        <v>0</v>
      </c>
      <c r="DB33" s="457">
        <f>DB34+DB35</f>
        <v>0</v>
      </c>
      <c r="DC33" s="457">
        <f t="shared" si="53"/>
        <v>0</v>
      </c>
      <c r="DD33" s="457">
        <f t="shared" si="53"/>
        <v>0</v>
      </c>
      <c r="DE33" s="457">
        <f t="shared" si="53"/>
        <v>0</v>
      </c>
      <c r="DF33" s="457">
        <f t="shared" si="53"/>
        <v>0</v>
      </c>
      <c r="DG33" s="457">
        <f t="shared" si="53"/>
        <v>0</v>
      </c>
      <c r="DH33" s="457">
        <f t="shared" si="53"/>
        <v>0</v>
      </c>
      <c r="DI33" s="457">
        <f>DI34+DI35</f>
        <v>0</v>
      </c>
      <c r="DJ33" s="457">
        <f t="shared" si="53"/>
        <v>5312656</v>
      </c>
      <c r="DK33" s="457">
        <f t="shared" si="53"/>
        <v>0</v>
      </c>
      <c r="DL33" s="457">
        <f>DL34+DL35</f>
        <v>0</v>
      </c>
      <c r="DM33" s="457">
        <f>DM34+DM35</f>
        <v>0</v>
      </c>
      <c r="DN33" s="457">
        <f t="shared" si="53"/>
        <v>0</v>
      </c>
      <c r="DO33" s="457">
        <f t="shared" si="53"/>
        <v>0</v>
      </c>
      <c r="DP33" s="457">
        <f t="shared" si="53"/>
        <v>0</v>
      </c>
      <c r="DQ33" s="457">
        <f t="shared" si="53"/>
        <v>0</v>
      </c>
      <c r="DR33" s="457">
        <f t="shared" si="53"/>
        <v>0</v>
      </c>
      <c r="DS33" s="457">
        <f t="shared" si="53"/>
        <v>0</v>
      </c>
      <c r="DT33" s="457">
        <f t="shared" si="53"/>
        <v>0</v>
      </c>
      <c r="DU33" s="457">
        <f t="shared" si="53"/>
        <v>0</v>
      </c>
      <c r="DV33" s="457">
        <f t="shared" si="53"/>
        <v>0</v>
      </c>
      <c r="DW33" s="457">
        <f>DW34+DW35</f>
        <v>0</v>
      </c>
      <c r="DX33" s="457">
        <f t="shared" si="53"/>
        <v>0</v>
      </c>
      <c r="DY33" s="457">
        <f t="shared" si="53"/>
        <v>0</v>
      </c>
      <c r="DZ33" s="457">
        <f t="shared" si="53"/>
        <v>0</v>
      </c>
      <c r="EA33" s="457">
        <f t="shared" si="53"/>
        <v>0</v>
      </c>
      <c r="EB33" s="457">
        <f t="shared" si="53"/>
        <v>0</v>
      </c>
      <c r="EC33" s="457">
        <f t="shared" si="53"/>
        <v>0</v>
      </c>
      <c r="ED33" s="457">
        <f t="shared" si="53"/>
        <v>0</v>
      </c>
      <c r="EE33" s="457">
        <f t="shared" si="53"/>
        <v>0</v>
      </c>
      <c r="EF33" s="457">
        <f t="shared" si="53"/>
        <v>0</v>
      </c>
      <c r="EG33" s="457">
        <f>EG34+EG35</f>
        <v>0</v>
      </c>
      <c r="EH33" s="457">
        <f>EH34+EH35</f>
        <v>0</v>
      </c>
      <c r="EI33" s="457">
        <f t="shared" si="53"/>
        <v>0</v>
      </c>
      <c r="EJ33" s="457">
        <f t="shared" si="53"/>
        <v>0</v>
      </c>
      <c r="EK33" s="457">
        <f t="shared" si="53"/>
        <v>896569000</v>
      </c>
      <c r="EL33" s="457">
        <f>EL34+EL35</f>
        <v>0</v>
      </c>
      <c r="EM33" s="457">
        <f t="shared" si="53"/>
        <v>0</v>
      </c>
      <c r="EN33" s="457">
        <f t="shared" si="53"/>
        <v>0</v>
      </c>
      <c r="EO33" s="457">
        <f t="shared" si="53"/>
        <v>0</v>
      </c>
      <c r="EP33" s="457">
        <f t="shared" si="53"/>
        <v>0</v>
      </c>
      <c r="EQ33" s="457">
        <f t="shared" si="53"/>
        <v>0</v>
      </c>
      <c r="ER33" s="457">
        <f t="shared" si="53"/>
        <v>0</v>
      </c>
      <c r="ES33" s="457">
        <f t="shared" si="53"/>
        <v>0</v>
      </c>
      <c r="ET33" s="457">
        <f t="shared" si="53"/>
        <v>0</v>
      </c>
      <c r="EU33" s="457">
        <f t="shared" si="53"/>
        <v>0</v>
      </c>
      <c r="EV33" s="457">
        <f t="shared" si="53"/>
        <v>0</v>
      </c>
      <c r="EW33" s="457">
        <f t="shared" si="53"/>
        <v>0</v>
      </c>
      <c r="EX33" s="457">
        <f t="shared" si="53"/>
        <v>0</v>
      </c>
      <c r="EY33" s="457">
        <f>EY34+EY35</f>
        <v>0</v>
      </c>
      <c r="EZ33" s="457">
        <f t="shared" si="53"/>
        <v>0</v>
      </c>
      <c r="FA33" s="457">
        <f t="shared" si="53"/>
        <v>0</v>
      </c>
      <c r="FB33" s="457">
        <f t="shared" si="53"/>
        <v>0</v>
      </c>
      <c r="FC33" s="457">
        <f t="shared" si="53"/>
        <v>0</v>
      </c>
      <c r="FD33" s="457">
        <f>FD34+FD35</f>
        <v>0</v>
      </c>
      <c r="FE33" s="457">
        <f t="shared" si="53"/>
        <v>0</v>
      </c>
      <c r="FF33" s="457">
        <f t="shared" si="53"/>
        <v>0</v>
      </c>
      <c r="FG33" s="457">
        <f t="shared" si="53"/>
        <v>0</v>
      </c>
      <c r="FH33" s="457">
        <f t="shared" si="53"/>
        <v>0</v>
      </c>
      <c r="FI33" s="457">
        <f t="shared" si="53"/>
        <v>0</v>
      </c>
      <c r="FJ33" s="457">
        <f aca="true" t="shared" si="54" ref="FJ33:GF33">FJ34+FJ35</f>
        <v>0</v>
      </c>
      <c r="FK33" s="457">
        <f t="shared" si="54"/>
        <v>0</v>
      </c>
      <c r="FL33" s="457">
        <f t="shared" si="54"/>
        <v>0</v>
      </c>
      <c r="FM33" s="457">
        <f t="shared" si="54"/>
        <v>0</v>
      </c>
      <c r="FN33" s="457">
        <f t="shared" si="54"/>
        <v>0</v>
      </c>
      <c r="FO33" s="457">
        <f t="shared" si="54"/>
        <v>0</v>
      </c>
      <c r="FP33" s="457">
        <f t="shared" si="54"/>
        <v>0</v>
      </c>
      <c r="FQ33" s="457">
        <f>FQ34+FQ35</f>
        <v>0</v>
      </c>
      <c r="FR33" s="457">
        <f t="shared" si="54"/>
        <v>0</v>
      </c>
      <c r="FS33" s="457">
        <f t="shared" si="54"/>
        <v>0</v>
      </c>
      <c r="FT33" s="457">
        <f t="shared" si="54"/>
        <v>0</v>
      </c>
      <c r="FU33" s="457">
        <f t="shared" si="54"/>
        <v>0</v>
      </c>
      <c r="FV33" s="457">
        <f t="shared" si="54"/>
        <v>0</v>
      </c>
      <c r="FW33" s="457">
        <f t="shared" si="54"/>
        <v>0</v>
      </c>
      <c r="FX33" s="457">
        <f>FX34+FX35</f>
        <v>0</v>
      </c>
      <c r="FY33" s="457"/>
      <c r="FZ33" s="457">
        <f t="shared" si="54"/>
        <v>0</v>
      </c>
      <c r="GA33" s="457">
        <f t="shared" si="54"/>
        <v>0</v>
      </c>
      <c r="GB33" s="457">
        <f t="shared" si="54"/>
        <v>0</v>
      </c>
      <c r="GC33" s="457">
        <f t="shared" si="54"/>
        <v>0</v>
      </c>
      <c r="GD33" s="457">
        <f t="shared" si="54"/>
        <v>0</v>
      </c>
      <c r="GE33" s="457">
        <f t="shared" si="54"/>
        <v>0</v>
      </c>
      <c r="GF33" s="457">
        <f t="shared" si="54"/>
        <v>0</v>
      </c>
      <c r="GG33" s="457">
        <f>GG34+GG35</f>
        <v>0</v>
      </c>
      <c r="GH33" s="457">
        <f>GH34+GH35</f>
        <v>0</v>
      </c>
      <c r="GI33" s="453" t="s">
        <v>171</v>
      </c>
      <c r="GJ33" s="455">
        <f>CS33/C33</f>
        <v>0.9999168474454941</v>
      </c>
      <c r="GK33" s="455"/>
      <c r="GL33" s="455">
        <f>CZ33/J33</f>
        <v>0.9999168474454941</v>
      </c>
      <c r="GM33" s="455"/>
      <c r="GN33" s="455"/>
    </row>
    <row r="34" spans="1:196" s="456" customFormat="1" ht="15" customHeight="1" hidden="1">
      <c r="A34" s="452"/>
      <c r="B34" s="453" t="s">
        <v>250</v>
      </c>
      <c r="C34" s="457">
        <f>D34+J34+AY34+CD34</f>
        <v>0</v>
      </c>
      <c r="D34" s="457">
        <f>SUM(E34:I34)</f>
        <v>0</v>
      </c>
      <c r="E34" s="457"/>
      <c r="F34" s="457"/>
      <c r="G34" s="457"/>
      <c r="H34" s="457"/>
      <c r="I34" s="457"/>
      <c r="J34" s="457">
        <f>SUM(K34:AX34)</f>
        <v>0</v>
      </c>
      <c r="K34" s="457"/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7"/>
      <c r="Y34" s="457"/>
      <c r="Z34" s="457"/>
      <c r="AA34" s="457"/>
      <c r="AB34" s="457"/>
      <c r="AC34" s="457"/>
      <c r="AD34" s="457"/>
      <c r="AE34" s="457"/>
      <c r="AF34" s="457"/>
      <c r="AG34" s="457"/>
      <c r="AH34" s="457"/>
      <c r="AI34" s="457"/>
      <c r="AJ34" s="457"/>
      <c r="AK34" s="457"/>
      <c r="AL34" s="457"/>
      <c r="AM34" s="457"/>
      <c r="AN34" s="457"/>
      <c r="AO34" s="457"/>
      <c r="AP34" s="457"/>
      <c r="AQ34" s="457"/>
      <c r="AR34" s="457"/>
      <c r="AS34" s="457"/>
      <c r="AT34" s="457"/>
      <c r="AU34" s="457"/>
      <c r="AV34" s="457"/>
      <c r="AW34" s="457"/>
      <c r="AX34" s="457"/>
      <c r="AY34" s="457">
        <f>SUM(AZ34:BA34)</f>
        <v>0</v>
      </c>
      <c r="AZ34" s="457">
        <f>SUM(BB34:BI34)+SUM(BQ34:BX34)</f>
        <v>0</v>
      </c>
      <c r="BA34" s="457">
        <f>SUM(BJ34:BP34)+SUM(BY34:CC34)</f>
        <v>0</v>
      </c>
      <c r="BB34" s="457"/>
      <c r="BC34" s="457"/>
      <c r="BD34" s="457"/>
      <c r="BE34" s="457"/>
      <c r="BF34" s="457"/>
      <c r="BG34" s="457"/>
      <c r="BH34" s="457"/>
      <c r="BI34" s="457"/>
      <c r="BJ34" s="457"/>
      <c r="BK34" s="457"/>
      <c r="BL34" s="457"/>
      <c r="BM34" s="457"/>
      <c r="BN34" s="457"/>
      <c r="BO34" s="457"/>
      <c r="BP34" s="457"/>
      <c r="BQ34" s="457"/>
      <c r="BR34" s="457"/>
      <c r="BS34" s="457"/>
      <c r="BT34" s="457"/>
      <c r="BU34" s="457"/>
      <c r="BV34" s="457"/>
      <c r="BW34" s="457"/>
      <c r="BX34" s="457"/>
      <c r="BY34" s="457"/>
      <c r="BZ34" s="457"/>
      <c r="CA34" s="457"/>
      <c r="CB34" s="457"/>
      <c r="CC34" s="457"/>
      <c r="CD34" s="457">
        <f>SUM(CE34:CF34)</f>
        <v>0</v>
      </c>
      <c r="CE34" s="457">
        <f>SUM(CG34:CI34)</f>
        <v>0</v>
      </c>
      <c r="CF34" s="457">
        <f>SUM(CJ34:CQ34)</f>
        <v>0</v>
      </c>
      <c r="CG34" s="457"/>
      <c r="CH34" s="457"/>
      <c r="CI34" s="457"/>
      <c r="CJ34" s="457"/>
      <c r="CK34" s="457"/>
      <c r="CL34" s="457"/>
      <c r="CM34" s="457"/>
      <c r="CN34" s="457"/>
      <c r="CO34" s="457"/>
      <c r="CP34" s="457"/>
      <c r="CQ34" s="457"/>
      <c r="CR34" s="453" t="s">
        <v>250</v>
      </c>
      <c r="CS34" s="457">
        <f>CT34+CZ34+EO34+FT34+GH34</f>
        <v>0</v>
      </c>
      <c r="CT34" s="457">
        <f>SUM(CU34:CY34)</f>
        <v>0</v>
      </c>
      <c r="CU34" s="457"/>
      <c r="CV34" s="457"/>
      <c r="CW34" s="457"/>
      <c r="CX34" s="457"/>
      <c r="CY34" s="457"/>
      <c r="CZ34" s="457">
        <f>SUM(DA34:EN34)</f>
        <v>0</v>
      </c>
      <c r="DA34" s="457"/>
      <c r="DB34" s="457"/>
      <c r="DC34" s="457"/>
      <c r="DD34" s="457"/>
      <c r="DE34" s="457"/>
      <c r="DF34" s="457"/>
      <c r="DG34" s="457"/>
      <c r="DH34" s="457"/>
      <c r="DI34" s="457"/>
      <c r="DJ34" s="457"/>
      <c r="DK34" s="457"/>
      <c r="DL34" s="457"/>
      <c r="DM34" s="457"/>
      <c r="DN34" s="457"/>
      <c r="DO34" s="457"/>
      <c r="DP34" s="457"/>
      <c r="DQ34" s="457"/>
      <c r="DR34" s="457"/>
      <c r="DS34" s="457"/>
      <c r="DT34" s="457"/>
      <c r="DU34" s="457"/>
      <c r="DV34" s="457"/>
      <c r="DW34" s="457"/>
      <c r="DX34" s="457"/>
      <c r="DY34" s="457"/>
      <c r="DZ34" s="457"/>
      <c r="EA34" s="457"/>
      <c r="EB34" s="457"/>
      <c r="EC34" s="457"/>
      <c r="ED34" s="457"/>
      <c r="EE34" s="457"/>
      <c r="EF34" s="457"/>
      <c r="EG34" s="457"/>
      <c r="EH34" s="457"/>
      <c r="EI34" s="457"/>
      <c r="EJ34" s="457"/>
      <c r="EK34" s="457"/>
      <c r="EL34" s="457"/>
      <c r="EM34" s="457"/>
      <c r="EN34" s="457"/>
      <c r="EO34" s="457">
        <f>SUM(EP34:EQ34)</f>
        <v>0</v>
      </c>
      <c r="EP34" s="457">
        <f>SUM(ER34:EY34)+SUM(FG34:FN34)</f>
        <v>0</v>
      </c>
      <c r="EQ34" s="457">
        <f>SUM(EZ34:FF34)+SUM(FO34:FS34)</f>
        <v>0</v>
      </c>
      <c r="ER34" s="457"/>
      <c r="ES34" s="457"/>
      <c r="ET34" s="457"/>
      <c r="EU34" s="457"/>
      <c r="EV34" s="457"/>
      <c r="EW34" s="457"/>
      <c r="EX34" s="457"/>
      <c r="EY34" s="457"/>
      <c r="EZ34" s="457"/>
      <c r="FA34" s="457"/>
      <c r="FB34" s="457"/>
      <c r="FC34" s="457"/>
      <c r="FD34" s="457"/>
      <c r="FE34" s="457"/>
      <c r="FF34" s="457"/>
      <c r="FG34" s="457"/>
      <c r="FH34" s="457"/>
      <c r="FI34" s="457"/>
      <c r="FJ34" s="457"/>
      <c r="FK34" s="457"/>
      <c r="FL34" s="457"/>
      <c r="FM34" s="457"/>
      <c r="FN34" s="457"/>
      <c r="FO34" s="457"/>
      <c r="FP34" s="457"/>
      <c r="FQ34" s="457"/>
      <c r="FR34" s="457"/>
      <c r="FS34" s="457"/>
      <c r="FT34" s="457">
        <f>SUM(FU34:FV34)</f>
        <v>0</v>
      </c>
      <c r="FU34" s="457">
        <f>SUM(FW34:FY34)</f>
        <v>0</v>
      </c>
      <c r="FV34" s="457">
        <f>SUM(FZ34:GG34)</f>
        <v>0</v>
      </c>
      <c r="FW34" s="457"/>
      <c r="FX34" s="457"/>
      <c r="FY34" s="457"/>
      <c r="FZ34" s="457"/>
      <c r="GA34" s="457"/>
      <c r="GB34" s="457"/>
      <c r="GC34" s="457"/>
      <c r="GD34" s="457"/>
      <c r="GE34" s="457"/>
      <c r="GF34" s="457"/>
      <c r="GG34" s="457"/>
      <c r="GH34" s="457"/>
      <c r="GI34" s="453" t="s">
        <v>250</v>
      </c>
      <c r="GJ34" s="455"/>
      <c r="GK34" s="455"/>
      <c r="GL34" s="455"/>
      <c r="GM34" s="455"/>
      <c r="GN34" s="455"/>
    </row>
    <row r="35" spans="1:196" s="456" customFormat="1" ht="15" customHeight="1" hidden="1">
      <c r="A35" s="452"/>
      <c r="B35" s="453" t="s">
        <v>251</v>
      </c>
      <c r="C35" s="457">
        <f>D35+J35+AY35+CD35</f>
        <v>901956656</v>
      </c>
      <c r="D35" s="457">
        <f>SUM(E35:I35)</f>
        <v>0</v>
      </c>
      <c r="E35" s="457"/>
      <c r="F35" s="457"/>
      <c r="G35" s="457"/>
      <c r="H35" s="457"/>
      <c r="I35" s="457"/>
      <c r="J35" s="457">
        <f>SUM(K35:AX35)</f>
        <v>901956656</v>
      </c>
      <c r="K35" s="457"/>
      <c r="L35" s="457"/>
      <c r="M35" s="457"/>
      <c r="N35" s="457"/>
      <c r="O35" s="457"/>
      <c r="P35" s="457"/>
      <c r="Q35" s="457"/>
      <c r="R35" s="457"/>
      <c r="S35" s="457"/>
      <c r="T35" s="457">
        <f>15000000-9687344</f>
        <v>5312656</v>
      </c>
      <c r="U35" s="457"/>
      <c r="V35" s="457"/>
      <c r="W35" s="457"/>
      <c r="X35" s="457"/>
      <c r="Y35" s="457"/>
      <c r="Z35" s="457"/>
      <c r="AA35" s="457"/>
      <c r="AB35" s="457"/>
      <c r="AC35" s="457"/>
      <c r="AD35" s="457"/>
      <c r="AE35" s="457"/>
      <c r="AF35" s="457"/>
      <c r="AG35" s="457"/>
      <c r="AH35" s="457"/>
      <c r="AI35" s="457"/>
      <c r="AJ35" s="457"/>
      <c r="AK35" s="457"/>
      <c r="AL35" s="457"/>
      <c r="AM35" s="457"/>
      <c r="AN35" s="457"/>
      <c r="AO35" s="457"/>
      <c r="AP35" s="457"/>
      <c r="AQ35" s="457"/>
      <c r="AR35" s="457"/>
      <c r="AS35" s="457"/>
      <c r="AT35" s="457"/>
      <c r="AU35" s="457">
        <v>896644000</v>
      </c>
      <c r="AV35" s="457"/>
      <c r="AW35" s="457"/>
      <c r="AX35" s="457"/>
      <c r="AY35" s="457">
        <f>SUM(AZ35:BA35)</f>
        <v>0</v>
      </c>
      <c r="AZ35" s="457">
        <f>SUM(BB35:BI35)+SUM(BQ35:BX35)</f>
        <v>0</v>
      </c>
      <c r="BA35" s="457">
        <f>SUM(BJ35:BP35)+SUM(BY35:CC35)</f>
        <v>0</v>
      </c>
      <c r="BB35" s="457"/>
      <c r="BC35" s="457"/>
      <c r="BD35" s="457"/>
      <c r="BE35" s="457"/>
      <c r="BF35" s="457"/>
      <c r="BG35" s="457"/>
      <c r="BH35" s="457"/>
      <c r="BI35" s="457"/>
      <c r="BJ35" s="457"/>
      <c r="BK35" s="457"/>
      <c r="BL35" s="457"/>
      <c r="BM35" s="457"/>
      <c r="BN35" s="457"/>
      <c r="BO35" s="457"/>
      <c r="BP35" s="457"/>
      <c r="BQ35" s="457"/>
      <c r="BR35" s="457"/>
      <c r="BS35" s="457"/>
      <c r="BT35" s="457"/>
      <c r="BU35" s="457"/>
      <c r="BV35" s="457"/>
      <c r="BW35" s="457"/>
      <c r="BX35" s="457"/>
      <c r="BY35" s="457"/>
      <c r="BZ35" s="457"/>
      <c r="CA35" s="457"/>
      <c r="CB35" s="457"/>
      <c r="CC35" s="457"/>
      <c r="CD35" s="457">
        <f>SUM(CE35:CF35)</f>
        <v>0</v>
      </c>
      <c r="CE35" s="457">
        <f>SUM(CG35:CI35)</f>
        <v>0</v>
      </c>
      <c r="CF35" s="457">
        <f>SUM(CJ35:CQ35)</f>
        <v>0</v>
      </c>
      <c r="CG35" s="457"/>
      <c r="CH35" s="457"/>
      <c r="CI35" s="457"/>
      <c r="CJ35" s="457"/>
      <c r="CK35" s="457"/>
      <c r="CL35" s="457"/>
      <c r="CM35" s="457"/>
      <c r="CN35" s="457"/>
      <c r="CO35" s="457"/>
      <c r="CP35" s="457"/>
      <c r="CQ35" s="457"/>
      <c r="CR35" s="453" t="s">
        <v>251</v>
      </c>
      <c r="CS35" s="457">
        <f>CT35+CZ35+EO35+FT35+GH35</f>
        <v>901881656</v>
      </c>
      <c r="CT35" s="457">
        <f>SUM(CU35:CY35)</f>
        <v>0</v>
      </c>
      <c r="CU35" s="457"/>
      <c r="CV35" s="457"/>
      <c r="CW35" s="457"/>
      <c r="CX35" s="457"/>
      <c r="CY35" s="457"/>
      <c r="CZ35" s="457">
        <f>SUM(DA35:EN35)</f>
        <v>901881656</v>
      </c>
      <c r="DA35" s="457"/>
      <c r="DB35" s="457"/>
      <c r="DC35" s="457"/>
      <c r="DD35" s="457"/>
      <c r="DE35" s="457"/>
      <c r="DF35" s="457"/>
      <c r="DG35" s="457"/>
      <c r="DH35" s="457"/>
      <c r="DI35" s="457"/>
      <c r="DJ35" s="457">
        <f>15000000-9687344</f>
        <v>5312656</v>
      </c>
      <c r="DK35" s="457"/>
      <c r="DL35" s="457"/>
      <c r="DM35" s="457"/>
      <c r="DN35" s="457"/>
      <c r="DO35" s="457"/>
      <c r="DP35" s="457"/>
      <c r="DQ35" s="457"/>
      <c r="DR35" s="457"/>
      <c r="DS35" s="457"/>
      <c r="DT35" s="457"/>
      <c r="DU35" s="457"/>
      <c r="DV35" s="457"/>
      <c r="DW35" s="457"/>
      <c r="DX35" s="457"/>
      <c r="DY35" s="457"/>
      <c r="DZ35" s="457"/>
      <c r="EA35" s="457"/>
      <c r="EB35" s="457"/>
      <c r="EC35" s="457"/>
      <c r="ED35" s="457"/>
      <c r="EE35" s="457"/>
      <c r="EF35" s="457"/>
      <c r="EG35" s="457"/>
      <c r="EH35" s="457"/>
      <c r="EI35" s="457"/>
      <c r="EJ35" s="457"/>
      <c r="EK35" s="457">
        <f>896644000-75000</f>
        <v>896569000</v>
      </c>
      <c r="EL35" s="457"/>
      <c r="EM35" s="457"/>
      <c r="EN35" s="457"/>
      <c r="EO35" s="457">
        <f>SUM(EP35:EQ35)</f>
        <v>0</v>
      </c>
      <c r="EP35" s="457">
        <f>SUM(ER35:EY35)+SUM(FG35:FN35)</f>
        <v>0</v>
      </c>
      <c r="EQ35" s="457">
        <f>SUM(EZ35:FF35)+SUM(FO35:FS35)</f>
        <v>0</v>
      </c>
      <c r="ER35" s="457"/>
      <c r="ES35" s="457"/>
      <c r="ET35" s="457"/>
      <c r="EU35" s="457"/>
      <c r="EV35" s="457"/>
      <c r="EW35" s="457"/>
      <c r="EX35" s="457"/>
      <c r="EY35" s="457"/>
      <c r="EZ35" s="457"/>
      <c r="FA35" s="457"/>
      <c r="FB35" s="457"/>
      <c r="FC35" s="457"/>
      <c r="FD35" s="457"/>
      <c r="FE35" s="457"/>
      <c r="FF35" s="457"/>
      <c r="FG35" s="457"/>
      <c r="FH35" s="457"/>
      <c r="FI35" s="457"/>
      <c r="FJ35" s="457"/>
      <c r="FK35" s="457"/>
      <c r="FL35" s="457"/>
      <c r="FM35" s="457"/>
      <c r="FN35" s="457"/>
      <c r="FO35" s="457"/>
      <c r="FP35" s="457"/>
      <c r="FQ35" s="457"/>
      <c r="FR35" s="457"/>
      <c r="FS35" s="457"/>
      <c r="FT35" s="457">
        <f>SUM(FU35:FV35)</f>
        <v>0</v>
      </c>
      <c r="FU35" s="457">
        <f>SUM(FW35:FY35)</f>
        <v>0</v>
      </c>
      <c r="FV35" s="457">
        <f>SUM(FZ35:GG35)</f>
        <v>0</v>
      </c>
      <c r="FW35" s="457"/>
      <c r="FX35" s="457"/>
      <c r="FY35" s="457"/>
      <c r="FZ35" s="457"/>
      <c r="GA35" s="457"/>
      <c r="GB35" s="457"/>
      <c r="GC35" s="457"/>
      <c r="GD35" s="457"/>
      <c r="GE35" s="457"/>
      <c r="GF35" s="457"/>
      <c r="GG35" s="457"/>
      <c r="GH35" s="457"/>
      <c r="GI35" s="453" t="s">
        <v>251</v>
      </c>
      <c r="GJ35" s="455">
        <f>CS35/C35</f>
        <v>0.9999168474454941</v>
      </c>
      <c r="GK35" s="455"/>
      <c r="GL35" s="455">
        <f>CZ35/J35</f>
        <v>0.9999168474454941</v>
      </c>
      <c r="GM35" s="455"/>
      <c r="GN35" s="455"/>
    </row>
    <row r="36" spans="1:196" s="456" customFormat="1" ht="15" customHeight="1">
      <c r="A36" s="452">
        <v>8</v>
      </c>
      <c r="B36" s="453" t="s">
        <v>257</v>
      </c>
      <c r="C36" s="457">
        <f aca="true" t="shared" si="55" ref="C36:H36">C37+C38</f>
        <v>531403330</v>
      </c>
      <c r="D36" s="457">
        <f t="shared" si="55"/>
        <v>0</v>
      </c>
      <c r="E36" s="457">
        <f t="shared" si="55"/>
        <v>0</v>
      </c>
      <c r="F36" s="457">
        <f t="shared" si="55"/>
        <v>0</v>
      </c>
      <c r="G36" s="457">
        <f t="shared" si="55"/>
        <v>0</v>
      </c>
      <c r="H36" s="457">
        <f t="shared" si="55"/>
        <v>0</v>
      </c>
      <c r="I36" s="457">
        <f aca="true" t="shared" si="56" ref="I36:BY36">I37+I38</f>
        <v>0</v>
      </c>
      <c r="J36" s="457">
        <f>J37+J38</f>
        <v>528403330</v>
      </c>
      <c r="K36" s="457">
        <f t="shared" si="56"/>
        <v>0</v>
      </c>
      <c r="L36" s="457">
        <f>L37+L38</f>
        <v>0</v>
      </c>
      <c r="M36" s="457">
        <f t="shared" si="56"/>
        <v>0</v>
      </c>
      <c r="N36" s="457">
        <f t="shared" si="56"/>
        <v>0</v>
      </c>
      <c r="O36" s="457">
        <f t="shared" si="56"/>
        <v>0</v>
      </c>
      <c r="P36" s="457">
        <f t="shared" si="56"/>
        <v>0</v>
      </c>
      <c r="Q36" s="457">
        <f t="shared" si="56"/>
        <v>0</v>
      </c>
      <c r="R36" s="457">
        <f t="shared" si="56"/>
        <v>0</v>
      </c>
      <c r="S36" s="457">
        <f>S37+S38</f>
        <v>0</v>
      </c>
      <c r="T36" s="457">
        <f t="shared" si="56"/>
        <v>6403330</v>
      </c>
      <c r="U36" s="457">
        <f t="shared" si="56"/>
        <v>0</v>
      </c>
      <c r="V36" s="457">
        <f>V37+V38</f>
        <v>0</v>
      </c>
      <c r="W36" s="457">
        <f>W37+W38</f>
        <v>0</v>
      </c>
      <c r="X36" s="457">
        <f t="shared" si="56"/>
        <v>0</v>
      </c>
      <c r="Y36" s="457">
        <f t="shared" si="56"/>
        <v>0</v>
      </c>
      <c r="Z36" s="457">
        <f t="shared" si="56"/>
        <v>0</v>
      </c>
      <c r="AA36" s="457">
        <f t="shared" si="56"/>
        <v>0</v>
      </c>
      <c r="AB36" s="457">
        <f t="shared" si="56"/>
        <v>0</v>
      </c>
      <c r="AC36" s="457">
        <f t="shared" si="56"/>
        <v>0</v>
      </c>
      <c r="AD36" s="457">
        <f t="shared" si="56"/>
        <v>0</v>
      </c>
      <c r="AE36" s="457">
        <f t="shared" si="56"/>
        <v>0</v>
      </c>
      <c r="AF36" s="457">
        <f t="shared" si="56"/>
        <v>0</v>
      </c>
      <c r="AG36" s="457">
        <f>AG37+AG38</f>
        <v>0</v>
      </c>
      <c r="AH36" s="457">
        <f t="shared" si="56"/>
        <v>0</v>
      </c>
      <c r="AI36" s="457">
        <f t="shared" si="56"/>
        <v>0</v>
      </c>
      <c r="AJ36" s="457">
        <f t="shared" si="56"/>
        <v>0</v>
      </c>
      <c r="AK36" s="457">
        <f t="shared" si="56"/>
        <v>0</v>
      </c>
      <c r="AL36" s="457">
        <f t="shared" si="56"/>
        <v>0</v>
      </c>
      <c r="AM36" s="457">
        <f t="shared" si="56"/>
        <v>0</v>
      </c>
      <c r="AN36" s="457">
        <f t="shared" si="56"/>
        <v>0</v>
      </c>
      <c r="AO36" s="457">
        <f t="shared" si="56"/>
        <v>0</v>
      </c>
      <c r="AP36" s="457">
        <f t="shared" si="56"/>
        <v>0</v>
      </c>
      <c r="AQ36" s="457">
        <f>AQ37+AQ38</f>
        <v>0</v>
      </c>
      <c r="AR36" s="457">
        <f>AR37+AR38</f>
        <v>0</v>
      </c>
      <c r="AS36" s="457">
        <f t="shared" si="56"/>
        <v>0</v>
      </c>
      <c r="AT36" s="457">
        <f t="shared" si="56"/>
        <v>0</v>
      </c>
      <c r="AU36" s="457">
        <f t="shared" si="56"/>
        <v>522000000</v>
      </c>
      <c r="AV36" s="457">
        <f>AV37+AV38</f>
        <v>0</v>
      </c>
      <c r="AW36" s="457">
        <f t="shared" si="56"/>
        <v>0</v>
      </c>
      <c r="AX36" s="457">
        <f t="shared" si="56"/>
        <v>0</v>
      </c>
      <c r="AY36" s="457">
        <f>AY37+AY38</f>
        <v>0</v>
      </c>
      <c r="AZ36" s="457">
        <f>AZ37+AZ38</f>
        <v>0</v>
      </c>
      <c r="BA36" s="457">
        <f>BA37+BA38</f>
        <v>0</v>
      </c>
      <c r="BB36" s="457">
        <f t="shared" si="56"/>
        <v>0</v>
      </c>
      <c r="BC36" s="457">
        <f t="shared" si="56"/>
        <v>0</v>
      </c>
      <c r="BD36" s="457">
        <f t="shared" si="56"/>
        <v>0</v>
      </c>
      <c r="BE36" s="457">
        <f t="shared" si="56"/>
        <v>0</v>
      </c>
      <c r="BF36" s="457">
        <f t="shared" si="56"/>
        <v>0</v>
      </c>
      <c r="BG36" s="457">
        <f t="shared" si="56"/>
        <v>0</v>
      </c>
      <c r="BH36" s="457">
        <f t="shared" si="56"/>
        <v>0</v>
      </c>
      <c r="BI36" s="457">
        <f>BI37+BI38</f>
        <v>0</v>
      </c>
      <c r="BJ36" s="457">
        <f t="shared" si="56"/>
        <v>0</v>
      </c>
      <c r="BK36" s="457">
        <f t="shared" si="56"/>
        <v>0</v>
      </c>
      <c r="BL36" s="457">
        <f t="shared" si="56"/>
        <v>0</v>
      </c>
      <c r="BM36" s="457">
        <f t="shared" si="56"/>
        <v>0</v>
      </c>
      <c r="BN36" s="457">
        <f>BN37+BN38</f>
        <v>0</v>
      </c>
      <c r="BO36" s="457">
        <f t="shared" si="56"/>
        <v>0</v>
      </c>
      <c r="BP36" s="457">
        <f t="shared" si="56"/>
        <v>0</v>
      </c>
      <c r="BQ36" s="457">
        <f t="shared" si="56"/>
        <v>0</v>
      </c>
      <c r="BR36" s="457">
        <f t="shared" si="56"/>
        <v>0</v>
      </c>
      <c r="BS36" s="457">
        <f t="shared" si="56"/>
        <v>0</v>
      </c>
      <c r="BT36" s="457">
        <f t="shared" si="56"/>
        <v>0</v>
      </c>
      <c r="BU36" s="457">
        <f t="shared" si="56"/>
        <v>0</v>
      </c>
      <c r="BV36" s="457">
        <f t="shared" si="56"/>
        <v>0</v>
      </c>
      <c r="BW36" s="457">
        <f t="shared" si="56"/>
        <v>0</v>
      </c>
      <c r="BX36" s="457">
        <f t="shared" si="56"/>
        <v>0</v>
      </c>
      <c r="BY36" s="457">
        <f t="shared" si="56"/>
        <v>0</v>
      </c>
      <c r="BZ36" s="457">
        <f aca="true" t="shared" si="57" ref="BZ36:CP36">BZ37+BZ38</f>
        <v>0</v>
      </c>
      <c r="CA36" s="457">
        <f>CA37+CA38</f>
        <v>0</v>
      </c>
      <c r="CB36" s="457">
        <f t="shared" si="57"/>
        <v>0</v>
      </c>
      <c r="CC36" s="457">
        <f t="shared" si="57"/>
        <v>0</v>
      </c>
      <c r="CD36" s="457">
        <f t="shared" si="57"/>
        <v>3000000</v>
      </c>
      <c r="CE36" s="457">
        <f>CE37+CE38</f>
        <v>0</v>
      </c>
      <c r="CF36" s="457">
        <f>CF37+CF38</f>
        <v>3000000</v>
      </c>
      <c r="CG36" s="457">
        <f t="shared" si="57"/>
        <v>0</v>
      </c>
      <c r="CH36" s="457">
        <f>CH37+CH38</f>
        <v>0</v>
      </c>
      <c r="CI36" s="457">
        <f>CI37+CI38</f>
        <v>0</v>
      </c>
      <c r="CJ36" s="457">
        <f t="shared" si="57"/>
        <v>0</v>
      </c>
      <c r="CK36" s="457">
        <f t="shared" si="57"/>
        <v>3000000</v>
      </c>
      <c r="CL36" s="457">
        <f t="shared" si="57"/>
        <v>0</v>
      </c>
      <c r="CM36" s="457">
        <f t="shared" si="57"/>
        <v>0</v>
      </c>
      <c r="CN36" s="457">
        <f t="shared" si="57"/>
        <v>0</v>
      </c>
      <c r="CO36" s="457">
        <f t="shared" si="57"/>
        <v>0</v>
      </c>
      <c r="CP36" s="457">
        <f t="shared" si="57"/>
        <v>0</v>
      </c>
      <c r="CQ36" s="457">
        <f>CQ37+CQ38</f>
        <v>0</v>
      </c>
      <c r="CR36" s="453" t="s">
        <v>257</v>
      </c>
      <c r="CS36" s="457">
        <f aca="true" t="shared" si="58" ref="CS36:FI36">CS37+CS38</f>
        <v>531403330</v>
      </c>
      <c r="CT36" s="457">
        <f t="shared" si="58"/>
        <v>0</v>
      </c>
      <c r="CU36" s="457">
        <f t="shared" si="58"/>
        <v>0</v>
      </c>
      <c r="CV36" s="457">
        <f>CV37+CV38</f>
        <v>0</v>
      </c>
      <c r="CW36" s="457">
        <f>CW37+CW38</f>
        <v>0</v>
      </c>
      <c r="CX36" s="457">
        <f>CX37+CX38</f>
        <v>0</v>
      </c>
      <c r="CY36" s="457">
        <f t="shared" si="58"/>
        <v>0</v>
      </c>
      <c r="CZ36" s="457">
        <f t="shared" si="58"/>
        <v>528403330</v>
      </c>
      <c r="DA36" s="457">
        <f t="shared" si="58"/>
        <v>0</v>
      </c>
      <c r="DB36" s="457">
        <f>DB37+DB38</f>
        <v>0</v>
      </c>
      <c r="DC36" s="457">
        <f t="shared" si="58"/>
        <v>0</v>
      </c>
      <c r="DD36" s="457">
        <f t="shared" si="58"/>
        <v>0</v>
      </c>
      <c r="DE36" s="457">
        <f t="shared" si="58"/>
        <v>0</v>
      </c>
      <c r="DF36" s="457">
        <f t="shared" si="58"/>
        <v>0</v>
      </c>
      <c r="DG36" s="457">
        <f t="shared" si="58"/>
        <v>0</v>
      </c>
      <c r="DH36" s="457">
        <f t="shared" si="58"/>
        <v>0</v>
      </c>
      <c r="DI36" s="457">
        <f>DI37+DI38</f>
        <v>0</v>
      </c>
      <c r="DJ36" s="457">
        <f t="shared" si="58"/>
        <v>6403330</v>
      </c>
      <c r="DK36" s="457">
        <f t="shared" si="58"/>
        <v>0</v>
      </c>
      <c r="DL36" s="457">
        <f>DL37+DL38</f>
        <v>0</v>
      </c>
      <c r="DM36" s="457">
        <f>DM37+DM38</f>
        <v>0</v>
      </c>
      <c r="DN36" s="457">
        <f t="shared" si="58"/>
        <v>0</v>
      </c>
      <c r="DO36" s="457">
        <f t="shared" si="58"/>
        <v>0</v>
      </c>
      <c r="DP36" s="457">
        <f t="shared" si="58"/>
        <v>0</v>
      </c>
      <c r="DQ36" s="457">
        <f t="shared" si="58"/>
        <v>0</v>
      </c>
      <c r="DR36" s="457">
        <f t="shared" si="58"/>
        <v>0</v>
      </c>
      <c r="DS36" s="457">
        <f t="shared" si="58"/>
        <v>0</v>
      </c>
      <c r="DT36" s="457">
        <f t="shared" si="58"/>
        <v>0</v>
      </c>
      <c r="DU36" s="457">
        <f t="shared" si="58"/>
        <v>0</v>
      </c>
      <c r="DV36" s="457">
        <f t="shared" si="58"/>
        <v>0</v>
      </c>
      <c r="DW36" s="457">
        <f>DW37+DW38</f>
        <v>0</v>
      </c>
      <c r="DX36" s="457">
        <f t="shared" si="58"/>
        <v>0</v>
      </c>
      <c r="DY36" s="457">
        <f t="shared" si="58"/>
        <v>0</v>
      </c>
      <c r="DZ36" s="457">
        <f t="shared" si="58"/>
        <v>0</v>
      </c>
      <c r="EA36" s="457">
        <f t="shared" si="58"/>
        <v>0</v>
      </c>
      <c r="EB36" s="457">
        <f t="shared" si="58"/>
        <v>0</v>
      </c>
      <c r="EC36" s="457">
        <f t="shared" si="58"/>
        <v>0</v>
      </c>
      <c r="ED36" s="457">
        <f t="shared" si="58"/>
        <v>0</v>
      </c>
      <c r="EE36" s="457">
        <f t="shared" si="58"/>
        <v>0</v>
      </c>
      <c r="EF36" s="457">
        <f t="shared" si="58"/>
        <v>0</v>
      </c>
      <c r="EG36" s="457">
        <f>EG37+EG38</f>
        <v>0</v>
      </c>
      <c r="EH36" s="457">
        <f>EH37+EH38</f>
        <v>0</v>
      </c>
      <c r="EI36" s="457">
        <f t="shared" si="58"/>
        <v>0</v>
      </c>
      <c r="EJ36" s="457">
        <f t="shared" si="58"/>
        <v>0</v>
      </c>
      <c r="EK36" s="457">
        <f t="shared" si="58"/>
        <v>522000000</v>
      </c>
      <c r="EL36" s="457">
        <f>EL37+EL38</f>
        <v>0</v>
      </c>
      <c r="EM36" s="457">
        <f t="shared" si="58"/>
        <v>0</v>
      </c>
      <c r="EN36" s="457">
        <f t="shared" si="58"/>
        <v>0</v>
      </c>
      <c r="EO36" s="457">
        <f t="shared" si="58"/>
        <v>0</v>
      </c>
      <c r="EP36" s="457">
        <f t="shared" si="58"/>
        <v>0</v>
      </c>
      <c r="EQ36" s="457">
        <f t="shared" si="58"/>
        <v>0</v>
      </c>
      <c r="ER36" s="457">
        <f t="shared" si="58"/>
        <v>0</v>
      </c>
      <c r="ES36" s="457">
        <f t="shared" si="58"/>
        <v>0</v>
      </c>
      <c r="ET36" s="457">
        <f t="shared" si="58"/>
        <v>0</v>
      </c>
      <c r="EU36" s="457">
        <f t="shared" si="58"/>
        <v>0</v>
      </c>
      <c r="EV36" s="457">
        <f t="shared" si="58"/>
        <v>0</v>
      </c>
      <c r="EW36" s="457">
        <f t="shared" si="58"/>
        <v>0</v>
      </c>
      <c r="EX36" s="457">
        <f t="shared" si="58"/>
        <v>0</v>
      </c>
      <c r="EY36" s="457">
        <f>EY37+EY38</f>
        <v>0</v>
      </c>
      <c r="EZ36" s="457">
        <f t="shared" si="58"/>
        <v>0</v>
      </c>
      <c r="FA36" s="457">
        <f t="shared" si="58"/>
        <v>0</v>
      </c>
      <c r="FB36" s="457">
        <f t="shared" si="58"/>
        <v>0</v>
      </c>
      <c r="FC36" s="457">
        <f t="shared" si="58"/>
        <v>0</v>
      </c>
      <c r="FD36" s="457">
        <f>FD37+FD38</f>
        <v>0</v>
      </c>
      <c r="FE36" s="457">
        <f t="shared" si="58"/>
        <v>0</v>
      </c>
      <c r="FF36" s="457">
        <f t="shared" si="58"/>
        <v>0</v>
      </c>
      <c r="FG36" s="457">
        <f t="shared" si="58"/>
        <v>0</v>
      </c>
      <c r="FH36" s="457">
        <f t="shared" si="58"/>
        <v>0</v>
      </c>
      <c r="FI36" s="457">
        <f t="shared" si="58"/>
        <v>0</v>
      </c>
      <c r="FJ36" s="457">
        <f aca="true" t="shared" si="59" ref="FJ36:GF36">FJ37+FJ38</f>
        <v>0</v>
      </c>
      <c r="FK36" s="457">
        <f t="shared" si="59"/>
        <v>0</v>
      </c>
      <c r="FL36" s="457">
        <f t="shared" si="59"/>
        <v>0</v>
      </c>
      <c r="FM36" s="457">
        <f t="shared" si="59"/>
        <v>0</v>
      </c>
      <c r="FN36" s="457">
        <f t="shared" si="59"/>
        <v>0</v>
      </c>
      <c r="FO36" s="457">
        <f t="shared" si="59"/>
        <v>0</v>
      </c>
      <c r="FP36" s="457">
        <f t="shared" si="59"/>
        <v>0</v>
      </c>
      <c r="FQ36" s="457">
        <f>FQ37+FQ38</f>
        <v>0</v>
      </c>
      <c r="FR36" s="457">
        <f t="shared" si="59"/>
        <v>0</v>
      </c>
      <c r="FS36" s="457">
        <f t="shared" si="59"/>
        <v>0</v>
      </c>
      <c r="FT36" s="457">
        <f t="shared" si="59"/>
        <v>3000000</v>
      </c>
      <c r="FU36" s="457">
        <f t="shared" si="59"/>
        <v>0</v>
      </c>
      <c r="FV36" s="457">
        <f t="shared" si="59"/>
        <v>3000000</v>
      </c>
      <c r="FW36" s="457">
        <f t="shared" si="59"/>
        <v>0</v>
      </c>
      <c r="FX36" s="457">
        <f>FX37+FX38</f>
        <v>0</v>
      </c>
      <c r="FY36" s="457"/>
      <c r="FZ36" s="457">
        <f t="shared" si="59"/>
        <v>0</v>
      </c>
      <c r="GA36" s="457">
        <f t="shared" si="59"/>
        <v>3000000</v>
      </c>
      <c r="GB36" s="457">
        <f t="shared" si="59"/>
        <v>0</v>
      </c>
      <c r="GC36" s="457">
        <f t="shared" si="59"/>
        <v>0</v>
      </c>
      <c r="GD36" s="457">
        <f t="shared" si="59"/>
        <v>0</v>
      </c>
      <c r="GE36" s="457">
        <f t="shared" si="59"/>
        <v>0</v>
      </c>
      <c r="GF36" s="457">
        <f t="shared" si="59"/>
        <v>0</v>
      </c>
      <c r="GG36" s="457">
        <f>GG37+GG38</f>
        <v>0</v>
      </c>
      <c r="GH36" s="457">
        <f>GH37+GH38</f>
        <v>0</v>
      </c>
      <c r="GI36" s="453" t="s">
        <v>257</v>
      </c>
      <c r="GJ36" s="455">
        <f>CS36/C36</f>
        <v>1</v>
      </c>
      <c r="GK36" s="455"/>
      <c r="GL36" s="455">
        <f>CZ36/J36</f>
        <v>1</v>
      </c>
      <c r="GM36" s="455"/>
      <c r="GN36" s="455">
        <f>FT36/CD36</f>
        <v>1</v>
      </c>
    </row>
    <row r="37" spans="1:196" s="456" customFormat="1" ht="15" customHeight="1" hidden="1">
      <c r="A37" s="452"/>
      <c r="B37" s="453" t="s">
        <v>250</v>
      </c>
      <c r="C37" s="457">
        <f>D37+J37+AY37+CD37</f>
        <v>0</v>
      </c>
      <c r="D37" s="457">
        <f>SUM(E37:I37)</f>
        <v>0</v>
      </c>
      <c r="E37" s="457"/>
      <c r="F37" s="457"/>
      <c r="G37" s="457"/>
      <c r="H37" s="457"/>
      <c r="I37" s="457"/>
      <c r="J37" s="457">
        <f>SUM(K37:AX37)</f>
        <v>0</v>
      </c>
      <c r="K37" s="457"/>
      <c r="L37" s="457"/>
      <c r="M37" s="457"/>
      <c r="N37" s="457"/>
      <c r="O37" s="457"/>
      <c r="P37" s="457"/>
      <c r="Q37" s="457"/>
      <c r="R37" s="457"/>
      <c r="S37" s="457"/>
      <c r="T37" s="457"/>
      <c r="U37" s="457"/>
      <c r="V37" s="457"/>
      <c r="W37" s="457"/>
      <c r="X37" s="457"/>
      <c r="Y37" s="457"/>
      <c r="Z37" s="457"/>
      <c r="AA37" s="457"/>
      <c r="AB37" s="457"/>
      <c r="AC37" s="457"/>
      <c r="AD37" s="457"/>
      <c r="AE37" s="457"/>
      <c r="AF37" s="457"/>
      <c r="AG37" s="457"/>
      <c r="AH37" s="457"/>
      <c r="AI37" s="457"/>
      <c r="AJ37" s="457"/>
      <c r="AK37" s="457"/>
      <c r="AL37" s="457"/>
      <c r="AM37" s="457"/>
      <c r="AN37" s="457"/>
      <c r="AO37" s="457"/>
      <c r="AP37" s="457"/>
      <c r="AQ37" s="457"/>
      <c r="AR37" s="457"/>
      <c r="AS37" s="457"/>
      <c r="AT37" s="457"/>
      <c r="AU37" s="457"/>
      <c r="AV37" s="457"/>
      <c r="AW37" s="457"/>
      <c r="AX37" s="457"/>
      <c r="AY37" s="457">
        <f>SUM(AZ37:BA37)</f>
        <v>0</v>
      </c>
      <c r="AZ37" s="457">
        <f>SUM(BB37:BI37)+SUM(BQ37:BX37)</f>
        <v>0</v>
      </c>
      <c r="BA37" s="457">
        <f>SUM(BJ37:BP37)+SUM(BY37:CC37)</f>
        <v>0</v>
      </c>
      <c r="BB37" s="457"/>
      <c r="BC37" s="457"/>
      <c r="BD37" s="457"/>
      <c r="BE37" s="457"/>
      <c r="BF37" s="457"/>
      <c r="BG37" s="457"/>
      <c r="BH37" s="457"/>
      <c r="BI37" s="457"/>
      <c r="BJ37" s="457"/>
      <c r="BK37" s="457"/>
      <c r="BL37" s="457"/>
      <c r="BM37" s="457"/>
      <c r="BN37" s="457"/>
      <c r="BO37" s="457"/>
      <c r="BP37" s="457"/>
      <c r="BQ37" s="457"/>
      <c r="BR37" s="457"/>
      <c r="BS37" s="457"/>
      <c r="BT37" s="457"/>
      <c r="BU37" s="457"/>
      <c r="BV37" s="457"/>
      <c r="BW37" s="457"/>
      <c r="BX37" s="457"/>
      <c r="BY37" s="457"/>
      <c r="BZ37" s="457"/>
      <c r="CA37" s="457"/>
      <c r="CB37" s="457"/>
      <c r="CC37" s="457"/>
      <c r="CD37" s="457">
        <f>SUM(CE37:CF37)</f>
        <v>0</v>
      </c>
      <c r="CE37" s="457">
        <f>SUM(CG37:CI37)</f>
        <v>0</v>
      </c>
      <c r="CF37" s="457">
        <f>SUM(CJ37:CQ37)</f>
        <v>0</v>
      </c>
      <c r="CG37" s="457"/>
      <c r="CH37" s="457"/>
      <c r="CI37" s="457"/>
      <c r="CJ37" s="457"/>
      <c r="CK37" s="457"/>
      <c r="CL37" s="457"/>
      <c r="CM37" s="457"/>
      <c r="CN37" s="457"/>
      <c r="CO37" s="457"/>
      <c r="CP37" s="457"/>
      <c r="CQ37" s="457"/>
      <c r="CR37" s="453" t="s">
        <v>250</v>
      </c>
      <c r="CS37" s="457">
        <f>CT37+CZ37+EO37+FT37+GH37</f>
        <v>0</v>
      </c>
      <c r="CT37" s="457">
        <f>SUM(CU37:CY37)</f>
        <v>0</v>
      </c>
      <c r="CU37" s="457"/>
      <c r="CV37" s="457"/>
      <c r="CW37" s="457"/>
      <c r="CX37" s="457"/>
      <c r="CY37" s="457"/>
      <c r="CZ37" s="457">
        <f>SUM(DA37:EN37)</f>
        <v>0</v>
      </c>
      <c r="DA37" s="457"/>
      <c r="DB37" s="457"/>
      <c r="DC37" s="457"/>
      <c r="DD37" s="457"/>
      <c r="DE37" s="457"/>
      <c r="DF37" s="457"/>
      <c r="DG37" s="457"/>
      <c r="DH37" s="457"/>
      <c r="DI37" s="457"/>
      <c r="DJ37" s="457"/>
      <c r="DK37" s="457"/>
      <c r="DL37" s="457"/>
      <c r="DM37" s="457"/>
      <c r="DN37" s="457"/>
      <c r="DO37" s="457"/>
      <c r="DP37" s="457"/>
      <c r="DQ37" s="457"/>
      <c r="DR37" s="457"/>
      <c r="DS37" s="457"/>
      <c r="DT37" s="457"/>
      <c r="DU37" s="457"/>
      <c r="DV37" s="457"/>
      <c r="DW37" s="457"/>
      <c r="DX37" s="457"/>
      <c r="DY37" s="457"/>
      <c r="DZ37" s="457"/>
      <c r="EA37" s="457"/>
      <c r="EB37" s="457"/>
      <c r="EC37" s="457"/>
      <c r="ED37" s="457"/>
      <c r="EE37" s="457"/>
      <c r="EF37" s="457"/>
      <c r="EG37" s="457"/>
      <c r="EH37" s="457"/>
      <c r="EI37" s="457"/>
      <c r="EJ37" s="457"/>
      <c r="EK37" s="457"/>
      <c r="EL37" s="457"/>
      <c r="EM37" s="457"/>
      <c r="EN37" s="457"/>
      <c r="EO37" s="457">
        <f>SUM(EP37:EQ37)</f>
        <v>0</v>
      </c>
      <c r="EP37" s="457">
        <f>SUM(ER37:EY37)+SUM(FG37:FN37)</f>
        <v>0</v>
      </c>
      <c r="EQ37" s="457">
        <f>SUM(EZ37:FF37)+SUM(FO37:FS37)</f>
        <v>0</v>
      </c>
      <c r="ER37" s="457"/>
      <c r="ES37" s="457"/>
      <c r="ET37" s="457"/>
      <c r="EU37" s="457"/>
      <c r="EV37" s="457"/>
      <c r="EW37" s="457"/>
      <c r="EX37" s="457"/>
      <c r="EY37" s="457"/>
      <c r="EZ37" s="457"/>
      <c r="FA37" s="457"/>
      <c r="FB37" s="457"/>
      <c r="FC37" s="457"/>
      <c r="FD37" s="457"/>
      <c r="FE37" s="457"/>
      <c r="FF37" s="457"/>
      <c r="FG37" s="457"/>
      <c r="FH37" s="457"/>
      <c r="FI37" s="457"/>
      <c r="FJ37" s="457"/>
      <c r="FK37" s="457"/>
      <c r="FL37" s="457"/>
      <c r="FM37" s="457"/>
      <c r="FN37" s="457"/>
      <c r="FO37" s="457"/>
      <c r="FP37" s="457"/>
      <c r="FQ37" s="457"/>
      <c r="FR37" s="457"/>
      <c r="FS37" s="457"/>
      <c r="FT37" s="457">
        <f>SUM(FU37:FV37)</f>
        <v>0</v>
      </c>
      <c r="FU37" s="457">
        <f>SUM(FW37:FY37)</f>
        <v>0</v>
      </c>
      <c r="FV37" s="457">
        <f>SUM(FZ37:GG37)</f>
        <v>0</v>
      </c>
      <c r="FW37" s="457"/>
      <c r="FX37" s="457"/>
      <c r="FY37" s="457"/>
      <c r="FZ37" s="457"/>
      <c r="GA37" s="457"/>
      <c r="GB37" s="457"/>
      <c r="GC37" s="457"/>
      <c r="GD37" s="457"/>
      <c r="GE37" s="457"/>
      <c r="GF37" s="457"/>
      <c r="GG37" s="457"/>
      <c r="GH37" s="457"/>
      <c r="GI37" s="453" t="s">
        <v>250</v>
      </c>
      <c r="GJ37" s="455"/>
      <c r="GK37" s="455"/>
      <c r="GL37" s="455"/>
      <c r="GM37" s="455"/>
      <c r="GN37" s="455"/>
    </row>
    <row r="38" spans="1:196" s="456" customFormat="1" ht="15" customHeight="1" hidden="1">
      <c r="A38" s="452"/>
      <c r="B38" s="453" t="s">
        <v>251</v>
      </c>
      <c r="C38" s="457">
        <f>D38+J38+AY38+CD38</f>
        <v>531403330</v>
      </c>
      <c r="D38" s="457">
        <f>SUM(E38:I38)</f>
        <v>0</v>
      </c>
      <c r="E38" s="457"/>
      <c r="F38" s="457"/>
      <c r="G38" s="457"/>
      <c r="H38" s="457"/>
      <c r="I38" s="457"/>
      <c r="J38" s="457">
        <f>SUM(K38:AX38)</f>
        <v>528403330</v>
      </c>
      <c r="K38" s="457"/>
      <c r="L38" s="457"/>
      <c r="M38" s="457"/>
      <c r="N38" s="457"/>
      <c r="O38" s="457"/>
      <c r="P38" s="457"/>
      <c r="Q38" s="457"/>
      <c r="R38" s="457"/>
      <c r="S38" s="457"/>
      <c r="T38" s="457">
        <f>10000000-3596670</f>
        <v>6403330</v>
      </c>
      <c r="U38" s="457"/>
      <c r="V38" s="457"/>
      <c r="W38" s="457"/>
      <c r="X38" s="457"/>
      <c r="Y38" s="457"/>
      <c r="Z38" s="457"/>
      <c r="AA38" s="457"/>
      <c r="AB38" s="457"/>
      <c r="AC38" s="457"/>
      <c r="AD38" s="457"/>
      <c r="AE38" s="457"/>
      <c r="AF38" s="457"/>
      <c r="AG38" s="457"/>
      <c r="AH38" s="457"/>
      <c r="AI38" s="457"/>
      <c r="AJ38" s="457"/>
      <c r="AK38" s="457"/>
      <c r="AL38" s="457"/>
      <c r="AM38" s="457"/>
      <c r="AN38" s="457"/>
      <c r="AO38" s="457"/>
      <c r="AP38" s="457"/>
      <c r="AQ38" s="457"/>
      <c r="AR38" s="457"/>
      <c r="AS38" s="457"/>
      <c r="AT38" s="457"/>
      <c r="AU38" s="457">
        <v>522000000</v>
      </c>
      <c r="AV38" s="457"/>
      <c r="AW38" s="457"/>
      <c r="AX38" s="457"/>
      <c r="AY38" s="457">
        <f>SUM(AZ38:BA38)</f>
        <v>0</v>
      </c>
      <c r="AZ38" s="457">
        <f>SUM(BB38:BI38)+SUM(BQ38:BX38)</f>
        <v>0</v>
      </c>
      <c r="BA38" s="457">
        <f>SUM(BJ38:BP38)+SUM(BY38:CC38)</f>
        <v>0</v>
      </c>
      <c r="BB38" s="457"/>
      <c r="BC38" s="457"/>
      <c r="BD38" s="457"/>
      <c r="BE38" s="457"/>
      <c r="BF38" s="457"/>
      <c r="BG38" s="457"/>
      <c r="BH38" s="457"/>
      <c r="BI38" s="457"/>
      <c r="BJ38" s="457"/>
      <c r="BK38" s="457"/>
      <c r="BL38" s="457"/>
      <c r="BM38" s="457"/>
      <c r="BN38" s="457"/>
      <c r="BO38" s="457"/>
      <c r="BP38" s="457"/>
      <c r="BQ38" s="457"/>
      <c r="BR38" s="457"/>
      <c r="BS38" s="457"/>
      <c r="BT38" s="457"/>
      <c r="BU38" s="457"/>
      <c r="BV38" s="457"/>
      <c r="BW38" s="457"/>
      <c r="BX38" s="457"/>
      <c r="BY38" s="457"/>
      <c r="BZ38" s="457"/>
      <c r="CA38" s="457"/>
      <c r="CB38" s="457"/>
      <c r="CC38" s="457"/>
      <c r="CD38" s="457">
        <f>SUM(CE38:CF38)</f>
        <v>3000000</v>
      </c>
      <c r="CE38" s="457">
        <f>SUM(CG38:CI38)</f>
        <v>0</v>
      </c>
      <c r="CF38" s="457">
        <f>SUM(CJ38:CQ38)</f>
        <v>3000000</v>
      </c>
      <c r="CG38" s="457"/>
      <c r="CH38" s="457"/>
      <c r="CI38" s="457"/>
      <c r="CJ38" s="457"/>
      <c r="CK38" s="457">
        <f>108000000-105000000</f>
        <v>3000000</v>
      </c>
      <c r="CL38" s="457"/>
      <c r="CM38" s="457"/>
      <c r="CN38" s="457"/>
      <c r="CO38" s="457"/>
      <c r="CP38" s="457"/>
      <c r="CQ38" s="457"/>
      <c r="CR38" s="453" t="s">
        <v>251</v>
      </c>
      <c r="CS38" s="457">
        <f>CT38+CZ38+EO38+FT38+GH38</f>
        <v>531403330</v>
      </c>
      <c r="CT38" s="457">
        <f>SUM(CU38:CY38)</f>
        <v>0</v>
      </c>
      <c r="CU38" s="457"/>
      <c r="CV38" s="457"/>
      <c r="CW38" s="457"/>
      <c r="CX38" s="457"/>
      <c r="CY38" s="457"/>
      <c r="CZ38" s="457">
        <f>SUM(DA38:EN38)</f>
        <v>528403330</v>
      </c>
      <c r="DA38" s="457"/>
      <c r="DB38" s="457"/>
      <c r="DC38" s="457"/>
      <c r="DD38" s="457"/>
      <c r="DE38" s="457"/>
      <c r="DF38" s="457"/>
      <c r="DG38" s="457"/>
      <c r="DH38" s="457"/>
      <c r="DI38" s="457"/>
      <c r="DJ38" s="457">
        <v>6403330</v>
      </c>
      <c r="DK38" s="457"/>
      <c r="DL38" s="457"/>
      <c r="DM38" s="457"/>
      <c r="DN38" s="457"/>
      <c r="DO38" s="457"/>
      <c r="DP38" s="457"/>
      <c r="DQ38" s="457"/>
      <c r="DR38" s="457"/>
      <c r="DS38" s="457"/>
      <c r="DT38" s="457"/>
      <c r="DU38" s="457"/>
      <c r="DV38" s="457"/>
      <c r="DW38" s="457"/>
      <c r="DX38" s="457"/>
      <c r="DY38" s="457"/>
      <c r="DZ38" s="457"/>
      <c r="EA38" s="457"/>
      <c r="EB38" s="457"/>
      <c r="EC38" s="457"/>
      <c r="ED38" s="457"/>
      <c r="EE38" s="457"/>
      <c r="EF38" s="457"/>
      <c r="EG38" s="457"/>
      <c r="EH38" s="457"/>
      <c r="EI38" s="457"/>
      <c r="EJ38" s="457"/>
      <c r="EK38" s="457">
        <v>522000000</v>
      </c>
      <c r="EL38" s="457"/>
      <c r="EM38" s="457"/>
      <c r="EN38" s="457"/>
      <c r="EO38" s="457">
        <f>SUM(EP38:EQ38)</f>
        <v>0</v>
      </c>
      <c r="EP38" s="457">
        <f>SUM(ER38:EY38)+SUM(FG38:FN38)</f>
        <v>0</v>
      </c>
      <c r="EQ38" s="457">
        <f>SUM(EZ38:FF38)+SUM(FO38:FS38)</f>
        <v>0</v>
      </c>
      <c r="ER38" s="457"/>
      <c r="ES38" s="457"/>
      <c r="ET38" s="457"/>
      <c r="EU38" s="457"/>
      <c r="EV38" s="457"/>
      <c r="EW38" s="457"/>
      <c r="EX38" s="457"/>
      <c r="EY38" s="457"/>
      <c r="EZ38" s="457"/>
      <c r="FA38" s="457"/>
      <c r="FB38" s="457"/>
      <c r="FC38" s="457"/>
      <c r="FD38" s="457"/>
      <c r="FE38" s="457"/>
      <c r="FF38" s="457"/>
      <c r="FG38" s="457"/>
      <c r="FH38" s="457"/>
      <c r="FI38" s="457"/>
      <c r="FJ38" s="457"/>
      <c r="FK38" s="457"/>
      <c r="FL38" s="457"/>
      <c r="FM38" s="457"/>
      <c r="FN38" s="457"/>
      <c r="FO38" s="457"/>
      <c r="FP38" s="457"/>
      <c r="FQ38" s="457"/>
      <c r="FR38" s="457"/>
      <c r="FS38" s="457"/>
      <c r="FT38" s="457">
        <f>SUM(FU38:FV38)</f>
        <v>3000000</v>
      </c>
      <c r="FU38" s="457">
        <f>SUM(FW38:FY38)</f>
        <v>0</v>
      </c>
      <c r="FV38" s="457">
        <f>SUM(FZ38:GG38)</f>
        <v>3000000</v>
      </c>
      <c r="FW38" s="457"/>
      <c r="FX38" s="457"/>
      <c r="FY38" s="457"/>
      <c r="FZ38" s="457"/>
      <c r="GA38" s="457">
        <v>3000000</v>
      </c>
      <c r="GB38" s="457"/>
      <c r="GC38" s="457"/>
      <c r="GD38" s="457"/>
      <c r="GE38" s="457"/>
      <c r="GF38" s="457"/>
      <c r="GG38" s="457"/>
      <c r="GH38" s="457"/>
      <c r="GI38" s="453" t="s">
        <v>251</v>
      </c>
      <c r="GJ38" s="455">
        <f>CS38/C38</f>
        <v>1</v>
      </c>
      <c r="GK38" s="455"/>
      <c r="GL38" s="455">
        <f>CZ38/J38</f>
        <v>1</v>
      </c>
      <c r="GM38" s="455"/>
      <c r="GN38" s="455">
        <f>FT38/CD38</f>
        <v>1</v>
      </c>
    </row>
    <row r="39" spans="1:196" s="456" customFormat="1" ht="15" customHeight="1">
      <c r="A39" s="452">
        <v>9</v>
      </c>
      <c r="B39" s="453" t="s">
        <v>258</v>
      </c>
      <c r="C39" s="457">
        <f aca="true" t="shared" si="60" ref="C39:H39">C40+C41</f>
        <v>12091824598</v>
      </c>
      <c r="D39" s="457">
        <f t="shared" si="60"/>
        <v>0</v>
      </c>
      <c r="E39" s="457">
        <f t="shared" si="60"/>
        <v>0</v>
      </c>
      <c r="F39" s="457">
        <f t="shared" si="60"/>
        <v>0</v>
      </c>
      <c r="G39" s="457">
        <f t="shared" si="60"/>
        <v>0</v>
      </c>
      <c r="H39" s="457">
        <f t="shared" si="60"/>
        <v>0</v>
      </c>
      <c r="I39" s="457">
        <f aca="true" t="shared" si="61" ref="I39:BY39">I40+I41</f>
        <v>0</v>
      </c>
      <c r="J39" s="457">
        <f>J40+J41</f>
        <v>12091824598</v>
      </c>
      <c r="K39" s="457">
        <f t="shared" si="61"/>
        <v>0</v>
      </c>
      <c r="L39" s="457">
        <f>L40+L41</f>
        <v>0</v>
      </c>
      <c r="M39" s="457">
        <f t="shared" si="61"/>
        <v>0</v>
      </c>
      <c r="N39" s="457">
        <f t="shared" si="61"/>
        <v>0</v>
      </c>
      <c r="O39" s="457">
        <f t="shared" si="61"/>
        <v>0</v>
      </c>
      <c r="P39" s="457">
        <f t="shared" si="61"/>
        <v>0</v>
      </c>
      <c r="Q39" s="457">
        <f t="shared" si="61"/>
        <v>0</v>
      </c>
      <c r="R39" s="457">
        <f t="shared" si="61"/>
        <v>0</v>
      </c>
      <c r="S39" s="457">
        <f>S40+S41</f>
        <v>0</v>
      </c>
      <c r="T39" s="457">
        <f t="shared" si="61"/>
        <v>1953000</v>
      </c>
      <c r="U39" s="457">
        <f t="shared" si="61"/>
        <v>0</v>
      </c>
      <c r="V39" s="457">
        <f>V40+V41</f>
        <v>0</v>
      </c>
      <c r="W39" s="457">
        <f>W40+W41</f>
        <v>0</v>
      </c>
      <c r="X39" s="457">
        <f t="shared" si="61"/>
        <v>0</v>
      </c>
      <c r="Y39" s="457">
        <f t="shared" si="61"/>
        <v>0</v>
      </c>
      <c r="Z39" s="457">
        <f t="shared" si="61"/>
        <v>0</v>
      </c>
      <c r="AA39" s="457">
        <f t="shared" si="61"/>
        <v>0</v>
      </c>
      <c r="AB39" s="457">
        <f t="shared" si="61"/>
        <v>0</v>
      </c>
      <c r="AC39" s="457">
        <f t="shared" si="61"/>
        <v>0</v>
      </c>
      <c r="AD39" s="457">
        <f t="shared" si="61"/>
        <v>0</v>
      </c>
      <c r="AE39" s="457">
        <f t="shared" si="61"/>
        <v>0</v>
      </c>
      <c r="AF39" s="457">
        <f t="shared" si="61"/>
        <v>0</v>
      </c>
      <c r="AG39" s="457">
        <f>AG40+AG41</f>
        <v>0</v>
      </c>
      <c r="AH39" s="457">
        <f t="shared" si="61"/>
        <v>0</v>
      </c>
      <c r="AI39" s="457">
        <f t="shared" si="61"/>
        <v>0</v>
      </c>
      <c r="AJ39" s="457">
        <f t="shared" si="61"/>
        <v>0</v>
      </c>
      <c r="AK39" s="457">
        <f t="shared" si="61"/>
        <v>0</v>
      </c>
      <c r="AL39" s="457">
        <f t="shared" si="61"/>
        <v>0</v>
      </c>
      <c r="AM39" s="457">
        <f t="shared" si="61"/>
        <v>9255622200</v>
      </c>
      <c r="AN39" s="457">
        <f t="shared" si="61"/>
        <v>571249398</v>
      </c>
      <c r="AO39" s="457">
        <f t="shared" si="61"/>
        <v>0</v>
      </c>
      <c r="AP39" s="457">
        <f t="shared" si="61"/>
        <v>0</v>
      </c>
      <c r="AQ39" s="457">
        <f>AQ40+AQ41</f>
        <v>0</v>
      </c>
      <c r="AR39" s="457">
        <f>AR40+AR41</f>
        <v>0</v>
      </c>
      <c r="AS39" s="457">
        <f t="shared" si="61"/>
        <v>450000000</v>
      </c>
      <c r="AT39" s="457">
        <f t="shared" si="61"/>
        <v>589000000</v>
      </c>
      <c r="AU39" s="457">
        <f t="shared" si="61"/>
        <v>1224000000</v>
      </c>
      <c r="AV39" s="457">
        <f>AV40+AV41</f>
        <v>0</v>
      </c>
      <c r="AW39" s="457">
        <f t="shared" si="61"/>
        <v>0</v>
      </c>
      <c r="AX39" s="457">
        <f t="shared" si="61"/>
        <v>0</v>
      </c>
      <c r="AY39" s="457">
        <f>AY40+AY41</f>
        <v>0</v>
      </c>
      <c r="AZ39" s="457">
        <f>AZ40+AZ41</f>
        <v>0</v>
      </c>
      <c r="BA39" s="457">
        <f>BA40+BA41</f>
        <v>0</v>
      </c>
      <c r="BB39" s="457">
        <f t="shared" si="61"/>
        <v>0</v>
      </c>
      <c r="BC39" s="457">
        <f t="shared" si="61"/>
        <v>0</v>
      </c>
      <c r="BD39" s="457">
        <f t="shared" si="61"/>
        <v>0</v>
      </c>
      <c r="BE39" s="457">
        <f t="shared" si="61"/>
        <v>0</v>
      </c>
      <c r="BF39" s="457">
        <f t="shared" si="61"/>
        <v>0</v>
      </c>
      <c r="BG39" s="457">
        <f t="shared" si="61"/>
        <v>0</v>
      </c>
      <c r="BH39" s="457">
        <f t="shared" si="61"/>
        <v>0</v>
      </c>
      <c r="BI39" s="457">
        <f>BI40+BI41</f>
        <v>0</v>
      </c>
      <c r="BJ39" s="457">
        <f t="shared" si="61"/>
        <v>0</v>
      </c>
      <c r="BK39" s="457">
        <f t="shared" si="61"/>
        <v>0</v>
      </c>
      <c r="BL39" s="457">
        <f t="shared" si="61"/>
        <v>0</v>
      </c>
      <c r="BM39" s="457">
        <f t="shared" si="61"/>
        <v>0</v>
      </c>
      <c r="BN39" s="457">
        <f>BN40+BN41</f>
        <v>0</v>
      </c>
      <c r="BO39" s="457">
        <f t="shared" si="61"/>
        <v>0</v>
      </c>
      <c r="BP39" s="457">
        <f t="shared" si="61"/>
        <v>0</v>
      </c>
      <c r="BQ39" s="457">
        <f t="shared" si="61"/>
        <v>0</v>
      </c>
      <c r="BR39" s="457">
        <f t="shared" si="61"/>
        <v>0</v>
      </c>
      <c r="BS39" s="457">
        <f t="shared" si="61"/>
        <v>0</v>
      </c>
      <c r="BT39" s="457">
        <f t="shared" si="61"/>
        <v>0</v>
      </c>
      <c r="BU39" s="457">
        <f t="shared" si="61"/>
        <v>0</v>
      </c>
      <c r="BV39" s="457">
        <f t="shared" si="61"/>
        <v>0</v>
      </c>
      <c r="BW39" s="457">
        <f t="shared" si="61"/>
        <v>0</v>
      </c>
      <c r="BX39" s="457">
        <f t="shared" si="61"/>
        <v>0</v>
      </c>
      <c r="BY39" s="457">
        <f t="shared" si="61"/>
        <v>0</v>
      </c>
      <c r="BZ39" s="457">
        <f aca="true" t="shared" si="62" ref="BZ39:CP39">BZ40+BZ41</f>
        <v>0</v>
      </c>
      <c r="CA39" s="457">
        <f>CA40+CA41</f>
        <v>0</v>
      </c>
      <c r="CB39" s="457">
        <f t="shared" si="62"/>
        <v>0</v>
      </c>
      <c r="CC39" s="457">
        <f t="shared" si="62"/>
        <v>0</v>
      </c>
      <c r="CD39" s="457">
        <f t="shared" si="62"/>
        <v>0</v>
      </c>
      <c r="CE39" s="457">
        <f>CE40+CE41</f>
        <v>0</v>
      </c>
      <c r="CF39" s="457">
        <f>CF40+CF41</f>
        <v>0</v>
      </c>
      <c r="CG39" s="457">
        <f t="shared" si="62"/>
        <v>0</v>
      </c>
      <c r="CH39" s="457">
        <f>CH40+CH41</f>
        <v>0</v>
      </c>
      <c r="CI39" s="457">
        <f>CI40+CI41</f>
        <v>0</v>
      </c>
      <c r="CJ39" s="457">
        <f t="shared" si="62"/>
        <v>0</v>
      </c>
      <c r="CK39" s="457">
        <f t="shared" si="62"/>
        <v>0</v>
      </c>
      <c r="CL39" s="457">
        <f t="shared" si="62"/>
        <v>0</v>
      </c>
      <c r="CM39" s="457">
        <f t="shared" si="62"/>
        <v>0</v>
      </c>
      <c r="CN39" s="457">
        <f t="shared" si="62"/>
        <v>0</v>
      </c>
      <c r="CO39" s="457">
        <f t="shared" si="62"/>
        <v>0</v>
      </c>
      <c r="CP39" s="457">
        <f t="shared" si="62"/>
        <v>0</v>
      </c>
      <c r="CQ39" s="457">
        <f>CQ40+CQ41</f>
        <v>0</v>
      </c>
      <c r="CR39" s="453" t="s">
        <v>258</v>
      </c>
      <c r="CS39" s="457">
        <f aca="true" t="shared" si="63" ref="CS39:FI39">CS40+CS41</f>
        <v>12002988153</v>
      </c>
      <c r="CT39" s="457">
        <f t="shared" si="63"/>
        <v>0</v>
      </c>
      <c r="CU39" s="457">
        <f t="shared" si="63"/>
        <v>0</v>
      </c>
      <c r="CV39" s="457">
        <f>CV40+CV41</f>
        <v>0</v>
      </c>
      <c r="CW39" s="457">
        <f>CW40+CW41</f>
        <v>0</v>
      </c>
      <c r="CX39" s="457">
        <f>CX40+CX41</f>
        <v>0</v>
      </c>
      <c r="CY39" s="457">
        <f t="shared" si="63"/>
        <v>0</v>
      </c>
      <c r="CZ39" s="457">
        <f t="shared" si="63"/>
        <v>12002988153</v>
      </c>
      <c r="DA39" s="457">
        <f t="shared" si="63"/>
        <v>0</v>
      </c>
      <c r="DB39" s="457">
        <f>DB40+DB41</f>
        <v>0</v>
      </c>
      <c r="DC39" s="457">
        <f t="shared" si="63"/>
        <v>0</v>
      </c>
      <c r="DD39" s="457">
        <f t="shared" si="63"/>
        <v>0</v>
      </c>
      <c r="DE39" s="457">
        <f t="shared" si="63"/>
        <v>0</v>
      </c>
      <c r="DF39" s="457">
        <f t="shared" si="63"/>
        <v>0</v>
      </c>
      <c r="DG39" s="457">
        <f t="shared" si="63"/>
        <v>0</v>
      </c>
      <c r="DH39" s="457">
        <f t="shared" si="63"/>
        <v>0</v>
      </c>
      <c r="DI39" s="457">
        <f>DI40+DI41</f>
        <v>0</v>
      </c>
      <c r="DJ39" s="457">
        <f t="shared" si="63"/>
        <v>1953000</v>
      </c>
      <c r="DK39" s="457">
        <f t="shared" si="63"/>
        <v>0</v>
      </c>
      <c r="DL39" s="457">
        <f>DL40+DL41</f>
        <v>0</v>
      </c>
      <c r="DM39" s="457">
        <f>DM40+DM41</f>
        <v>0</v>
      </c>
      <c r="DN39" s="457">
        <f t="shared" si="63"/>
        <v>0</v>
      </c>
      <c r="DO39" s="457">
        <f t="shared" si="63"/>
        <v>0</v>
      </c>
      <c r="DP39" s="457">
        <f t="shared" si="63"/>
        <v>0</v>
      </c>
      <c r="DQ39" s="457">
        <f t="shared" si="63"/>
        <v>0</v>
      </c>
      <c r="DR39" s="457">
        <f t="shared" si="63"/>
        <v>0</v>
      </c>
      <c r="DS39" s="457">
        <f t="shared" si="63"/>
        <v>0</v>
      </c>
      <c r="DT39" s="457">
        <f t="shared" si="63"/>
        <v>0</v>
      </c>
      <c r="DU39" s="457">
        <f t="shared" si="63"/>
        <v>0</v>
      </c>
      <c r="DV39" s="457">
        <f t="shared" si="63"/>
        <v>0</v>
      </c>
      <c r="DW39" s="457">
        <f>DW40+DW41</f>
        <v>0</v>
      </c>
      <c r="DX39" s="457">
        <f t="shared" si="63"/>
        <v>0</v>
      </c>
      <c r="DY39" s="457">
        <f t="shared" si="63"/>
        <v>0</v>
      </c>
      <c r="DZ39" s="457">
        <f t="shared" si="63"/>
        <v>0</v>
      </c>
      <c r="EA39" s="457">
        <f t="shared" si="63"/>
        <v>0</v>
      </c>
      <c r="EB39" s="457">
        <f t="shared" si="63"/>
        <v>0</v>
      </c>
      <c r="EC39" s="457">
        <f t="shared" si="63"/>
        <v>9222434755</v>
      </c>
      <c r="ED39" s="457">
        <f t="shared" si="63"/>
        <v>571149398</v>
      </c>
      <c r="EE39" s="457">
        <f t="shared" si="63"/>
        <v>0</v>
      </c>
      <c r="EF39" s="457">
        <f t="shared" si="63"/>
        <v>0</v>
      </c>
      <c r="EG39" s="457">
        <f>EG40+EG41</f>
        <v>0</v>
      </c>
      <c r="EH39" s="457">
        <f>EH40+EH41</f>
        <v>0</v>
      </c>
      <c r="EI39" s="457">
        <f t="shared" si="63"/>
        <v>404541000</v>
      </c>
      <c r="EJ39" s="457">
        <f t="shared" si="63"/>
        <v>589000000</v>
      </c>
      <c r="EK39" s="457">
        <f t="shared" si="63"/>
        <v>1213910000</v>
      </c>
      <c r="EL39" s="457">
        <f>EL40+EL41</f>
        <v>0</v>
      </c>
      <c r="EM39" s="457">
        <f t="shared" si="63"/>
        <v>0</v>
      </c>
      <c r="EN39" s="457">
        <f t="shared" si="63"/>
        <v>0</v>
      </c>
      <c r="EO39" s="457">
        <f t="shared" si="63"/>
        <v>0</v>
      </c>
      <c r="EP39" s="457">
        <f t="shared" si="63"/>
        <v>0</v>
      </c>
      <c r="EQ39" s="457">
        <f t="shared" si="63"/>
        <v>0</v>
      </c>
      <c r="ER39" s="457">
        <f t="shared" si="63"/>
        <v>0</v>
      </c>
      <c r="ES39" s="457">
        <f t="shared" si="63"/>
        <v>0</v>
      </c>
      <c r="ET39" s="457">
        <f t="shared" si="63"/>
        <v>0</v>
      </c>
      <c r="EU39" s="457">
        <f t="shared" si="63"/>
        <v>0</v>
      </c>
      <c r="EV39" s="457">
        <f t="shared" si="63"/>
        <v>0</v>
      </c>
      <c r="EW39" s="457">
        <f t="shared" si="63"/>
        <v>0</v>
      </c>
      <c r="EX39" s="457">
        <f t="shared" si="63"/>
        <v>0</v>
      </c>
      <c r="EY39" s="457">
        <f>EY40+EY41</f>
        <v>0</v>
      </c>
      <c r="EZ39" s="457">
        <f t="shared" si="63"/>
        <v>0</v>
      </c>
      <c r="FA39" s="457">
        <f t="shared" si="63"/>
        <v>0</v>
      </c>
      <c r="FB39" s="457">
        <f t="shared" si="63"/>
        <v>0</v>
      </c>
      <c r="FC39" s="457">
        <f t="shared" si="63"/>
        <v>0</v>
      </c>
      <c r="FD39" s="457">
        <f>FD40+FD41</f>
        <v>0</v>
      </c>
      <c r="FE39" s="457">
        <f t="shared" si="63"/>
        <v>0</v>
      </c>
      <c r="FF39" s="457">
        <f t="shared" si="63"/>
        <v>0</v>
      </c>
      <c r="FG39" s="457">
        <f t="shared" si="63"/>
        <v>0</v>
      </c>
      <c r="FH39" s="457">
        <f t="shared" si="63"/>
        <v>0</v>
      </c>
      <c r="FI39" s="457">
        <f t="shared" si="63"/>
        <v>0</v>
      </c>
      <c r="FJ39" s="457">
        <f aca="true" t="shared" si="64" ref="FJ39:GF39">FJ40+FJ41</f>
        <v>0</v>
      </c>
      <c r="FK39" s="457">
        <f t="shared" si="64"/>
        <v>0</v>
      </c>
      <c r="FL39" s="457">
        <f t="shared" si="64"/>
        <v>0</v>
      </c>
      <c r="FM39" s="457">
        <f t="shared" si="64"/>
        <v>0</v>
      </c>
      <c r="FN39" s="457">
        <f t="shared" si="64"/>
        <v>0</v>
      </c>
      <c r="FO39" s="457">
        <f t="shared" si="64"/>
        <v>0</v>
      </c>
      <c r="FP39" s="457">
        <f t="shared" si="64"/>
        <v>0</v>
      </c>
      <c r="FQ39" s="457">
        <f>FQ40+FQ41</f>
        <v>0</v>
      </c>
      <c r="FR39" s="457">
        <f t="shared" si="64"/>
        <v>0</v>
      </c>
      <c r="FS39" s="457">
        <f t="shared" si="64"/>
        <v>0</v>
      </c>
      <c r="FT39" s="457">
        <f t="shared" si="64"/>
        <v>0</v>
      </c>
      <c r="FU39" s="457">
        <f t="shared" si="64"/>
        <v>0</v>
      </c>
      <c r="FV39" s="457">
        <f t="shared" si="64"/>
        <v>0</v>
      </c>
      <c r="FW39" s="457">
        <f t="shared" si="64"/>
        <v>0</v>
      </c>
      <c r="FX39" s="457">
        <f>FX40+FX41</f>
        <v>0</v>
      </c>
      <c r="FY39" s="457"/>
      <c r="FZ39" s="457">
        <f t="shared" si="64"/>
        <v>0</v>
      </c>
      <c r="GA39" s="457">
        <f t="shared" si="64"/>
        <v>0</v>
      </c>
      <c r="GB39" s="457">
        <f t="shared" si="64"/>
        <v>0</v>
      </c>
      <c r="GC39" s="457">
        <f t="shared" si="64"/>
        <v>0</v>
      </c>
      <c r="GD39" s="457">
        <f t="shared" si="64"/>
        <v>0</v>
      </c>
      <c r="GE39" s="457">
        <f t="shared" si="64"/>
        <v>0</v>
      </c>
      <c r="GF39" s="457">
        <f t="shared" si="64"/>
        <v>0</v>
      </c>
      <c r="GG39" s="457">
        <f>GG40+GG41</f>
        <v>0</v>
      </c>
      <c r="GH39" s="457">
        <f>GH40+GH41</f>
        <v>0</v>
      </c>
      <c r="GI39" s="453" t="s">
        <v>258</v>
      </c>
      <c r="GJ39" s="455">
        <f>CS39/C39</f>
        <v>0.9926531811406946</v>
      </c>
      <c r="GK39" s="455"/>
      <c r="GL39" s="455">
        <f>CZ39/J39</f>
        <v>0.9926531811406946</v>
      </c>
      <c r="GM39" s="455"/>
      <c r="GN39" s="455"/>
    </row>
    <row r="40" spans="1:196" s="456" customFormat="1" ht="15" customHeight="1" hidden="1">
      <c r="A40" s="452"/>
      <c r="B40" s="453" t="s">
        <v>250</v>
      </c>
      <c r="C40" s="457">
        <f>D40+J40+AY40+CD40</f>
        <v>0</v>
      </c>
      <c r="D40" s="457">
        <f>SUM(E40:I40)</f>
        <v>0</v>
      </c>
      <c r="E40" s="457"/>
      <c r="F40" s="457"/>
      <c r="G40" s="457"/>
      <c r="H40" s="457"/>
      <c r="I40" s="457"/>
      <c r="J40" s="457">
        <f>SUM(K40:AX40)</f>
        <v>0</v>
      </c>
      <c r="K40" s="457"/>
      <c r="L40" s="457"/>
      <c r="M40" s="457"/>
      <c r="N40" s="457"/>
      <c r="O40" s="457"/>
      <c r="P40" s="457"/>
      <c r="Q40" s="457"/>
      <c r="R40" s="457"/>
      <c r="S40" s="457"/>
      <c r="T40" s="457"/>
      <c r="U40" s="457"/>
      <c r="V40" s="457"/>
      <c r="W40" s="457"/>
      <c r="X40" s="457"/>
      <c r="Y40" s="457"/>
      <c r="Z40" s="457"/>
      <c r="AA40" s="457"/>
      <c r="AB40" s="457"/>
      <c r="AC40" s="457"/>
      <c r="AD40" s="457"/>
      <c r="AE40" s="457"/>
      <c r="AF40" s="457"/>
      <c r="AG40" s="457"/>
      <c r="AH40" s="457"/>
      <c r="AI40" s="457"/>
      <c r="AJ40" s="457"/>
      <c r="AK40" s="457"/>
      <c r="AL40" s="457"/>
      <c r="AM40" s="457"/>
      <c r="AN40" s="457"/>
      <c r="AO40" s="457"/>
      <c r="AP40" s="457"/>
      <c r="AQ40" s="457"/>
      <c r="AR40" s="457"/>
      <c r="AS40" s="457"/>
      <c r="AT40" s="457"/>
      <c r="AU40" s="457"/>
      <c r="AV40" s="457"/>
      <c r="AW40" s="457"/>
      <c r="AX40" s="457"/>
      <c r="AY40" s="457">
        <f>SUM(AZ40:BA40)</f>
        <v>0</v>
      </c>
      <c r="AZ40" s="457">
        <f>SUM(BB40:BI40)+SUM(BQ40:BX40)</f>
        <v>0</v>
      </c>
      <c r="BA40" s="457">
        <f>SUM(BJ40:BP40)+SUM(BY40:CC40)</f>
        <v>0</v>
      </c>
      <c r="BB40" s="457"/>
      <c r="BC40" s="457"/>
      <c r="BD40" s="457"/>
      <c r="BE40" s="457"/>
      <c r="BF40" s="457"/>
      <c r="BG40" s="457"/>
      <c r="BH40" s="457"/>
      <c r="BI40" s="457"/>
      <c r="BJ40" s="457"/>
      <c r="BK40" s="457"/>
      <c r="BL40" s="457"/>
      <c r="BM40" s="457"/>
      <c r="BN40" s="457"/>
      <c r="BO40" s="457"/>
      <c r="BP40" s="457"/>
      <c r="BQ40" s="457"/>
      <c r="BR40" s="457"/>
      <c r="BS40" s="457"/>
      <c r="BT40" s="457"/>
      <c r="BU40" s="457"/>
      <c r="BV40" s="457"/>
      <c r="BW40" s="457"/>
      <c r="BX40" s="457"/>
      <c r="BY40" s="457"/>
      <c r="BZ40" s="457"/>
      <c r="CA40" s="457"/>
      <c r="CB40" s="457"/>
      <c r="CC40" s="457"/>
      <c r="CD40" s="457">
        <f>SUM(CE40:CF40)</f>
        <v>0</v>
      </c>
      <c r="CE40" s="457">
        <f>SUM(CG40:CI40)</f>
        <v>0</v>
      </c>
      <c r="CF40" s="457">
        <f>SUM(CJ40:CQ40)</f>
        <v>0</v>
      </c>
      <c r="CG40" s="457"/>
      <c r="CH40" s="457"/>
      <c r="CI40" s="457"/>
      <c r="CJ40" s="457"/>
      <c r="CK40" s="457"/>
      <c r="CL40" s="457"/>
      <c r="CM40" s="457"/>
      <c r="CN40" s="457"/>
      <c r="CO40" s="457"/>
      <c r="CP40" s="457"/>
      <c r="CQ40" s="457"/>
      <c r="CR40" s="453" t="s">
        <v>250</v>
      </c>
      <c r="CS40" s="457">
        <f>CT40+CZ40+EO40+FT40+GH40</f>
        <v>0</v>
      </c>
      <c r="CT40" s="457">
        <f>SUM(CU40:CY40)</f>
        <v>0</v>
      </c>
      <c r="CU40" s="457"/>
      <c r="CV40" s="457"/>
      <c r="CW40" s="457"/>
      <c r="CX40" s="457"/>
      <c r="CY40" s="457"/>
      <c r="CZ40" s="457">
        <f>SUM(DA40:EN40)</f>
        <v>0</v>
      </c>
      <c r="DA40" s="457"/>
      <c r="DB40" s="457"/>
      <c r="DC40" s="457"/>
      <c r="DD40" s="457"/>
      <c r="DE40" s="457"/>
      <c r="DF40" s="457"/>
      <c r="DG40" s="457"/>
      <c r="DH40" s="457"/>
      <c r="DI40" s="457"/>
      <c r="DJ40" s="457"/>
      <c r="DK40" s="457"/>
      <c r="DL40" s="457"/>
      <c r="DM40" s="457"/>
      <c r="DN40" s="457"/>
      <c r="DO40" s="457"/>
      <c r="DP40" s="457"/>
      <c r="DQ40" s="457"/>
      <c r="DR40" s="457"/>
      <c r="DS40" s="457"/>
      <c r="DT40" s="457"/>
      <c r="DU40" s="457"/>
      <c r="DV40" s="457"/>
      <c r="DW40" s="457"/>
      <c r="DX40" s="457"/>
      <c r="DY40" s="457"/>
      <c r="DZ40" s="457"/>
      <c r="EA40" s="457"/>
      <c r="EB40" s="457"/>
      <c r="EC40" s="457"/>
      <c r="ED40" s="457"/>
      <c r="EE40" s="457"/>
      <c r="EF40" s="457"/>
      <c r="EG40" s="457"/>
      <c r="EH40" s="457"/>
      <c r="EI40" s="457"/>
      <c r="EJ40" s="457"/>
      <c r="EK40" s="457"/>
      <c r="EL40" s="457"/>
      <c r="EM40" s="457"/>
      <c r="EN40" s="457"/>
      <c r="EO40" s="457">
        <f>SUM(EP40:EQ40)</f>
        <v>0</v>
      </c>
      <c r="EP40" s="457">
        <f>SUM(ER40:EY40)+SUM(FG40:FN40)</f>
        <v>0</v>
      </c>
      <c r="EQ40" s="457">
        <f>SUM(EZ40:FF40)+SUM(FO40:FS40)</f>
        <v>0</v>
      </c>
      <c r="ER40" s="457"/>
      <c r="ES40" s="457"/>
      <c r="ET40" s="457"/>
      <c r="EU40" s="457"/>
      <c r="EV40" s="457"/>
      <c r="EW40" s="457"/>
      <c r="EX40" s="457"/>
      <c r="EY40" s="457"/>
      <c r="EZ40" s="457"/>
      <c r="FA40" s="457"/>
      <c r="FB40" s="457"/>
      <c r="FC40" s="457"/>
      <c r="FD40" s="457"/>
      <c r="FE40" s="457"/>
      <c r="FF40" s="457"/>
      <c r="FG40" s="457"/>
      <c r="FH40" s="457"/>
      <c r="FI40" s="457"/>
      <c r="FJ40" s="457"/>
      <c r="FK40" s="457"/>
      <c r="FL40" s="457"/>
      <c r="FM40" s="457"/>
      <c r="FN40" s="457"/>
      <c r="FO40" s="457"/>
      <c r="FP40" s="457"/>
      <c r="FQ40" s="457"/>
      <c r="FR40" s="457"/>
      <c r="FS40" s="457"/>
      <c r="FT40" s="457">
        <f>SUM(FU40:FV40)</f>
        <v>0</v>
      </c>
      <c r="FU40" s="457">
        <f>SUM(FW40:FY40)</f>
        <v>0</v>
      </c>
      <c r="FV40" s="457">
        <f>SUM(FZ40:GG40)</f>
        <v>0</v>
      </c>
      <c r="FW40" s="457"/>
      <c r="FX40" s="457"/>
      <c r="FY40" s="457"/>
      <c r="FZ40" s="457"/>
      <c r="GA40" s="457"/>
      <c r="GB40" s="457"/>
      <c r="GC40" s="457"/>
      <c r="GD40" s="457"/>
      <c r="GE40" s="457"/>
      <c r="GF40" s="457"/>
      <c r="GG40" s="457"/>
      <c r="GH40" s="457"/>
      <c r="GI40" s="453" t="s">
        <v>250</v>
      </c>
      <c r="GJ40" s="455"/>
      <c r="GK40" s="455"/>
      <c r="GL40" s="455"/>
      <c r="GM40" s="455"/>
      <c r="GN40" s="455"/>
    </row>
    <row r="41" spans="1:196" s="456" customFormat="1" ht="15" customHeight="1" hidden="1">
      <c r="A41" s="452"/>
      <c r="B41" s="453" t="s">
        <v>251</v>
      </c>
      <c r="C41" s="457">
        <f>D41+J41+AY41+CD41</f>
        <v>12091824598</v>
      </c>
      <c r="D41" s="457">
        <f>SUM(E41:I41)</f>
        <v>0</v>
      </c>
      <c r="E41" s="457"/>
      <c r="F41" s="457"/>
      <c r="G41" s="457"/>
      <c r="H41" s="457"/>
      <c r="I41" s="457"/>
      <c r="J41" s="457">
        <f>SUM(K41:AX41)</f>
        <v>12091824598</v>
      </c>
      <c r="K41" s="457"/>
      <c r="L41" s="457"/>
      <c r="M41" s="457"/>
      <c r="N41" s="457"/>
      <c r="O41" s="457"/>
      <c r="P41" s="457"/>
      <c r="Q41" s="457"/>
      <c r="R41" s="457"/>
      <c r="S41" s="457"/>
      <c r="T41" s="457">
        <v>1953000</v>
      </c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7"/>
      <c r="AG41" s="457"/>
      <c r="AH41" s="457"/>
      <c r="AI41" s="457"/>
      <c r="AJ41" s="457"/>
      <c r="AK41" s="457"/>
      <c r="AL41" s="457"/>
      <c r="AM41" s="457">
        <v>9255622200</v>
      </c>
      <c r="AN41" s="457">
        <v>571249398</v>
      </c>
      <c r="AO41" s="457"/>
      <c r="AP41" s="457"/>
      <c r="AQ41" s="457"/>
      <c r="AR41" s="457"/>
      <c r="AS41" s="457">
        <v>450000000</v>
      </c>
      <c r="AT41" s="457">
        <v>589000000</v>
      </c>
      <c r="AU41" s="457">
        <v>1224000000</v>
      </c>
      <c r="AV41" s="457"/>
      <c r="AW41" s="457"/>
      <c r="AX41" s="457"/>
      <c r="AY41" s="457">
        <f>SUM(AZ41:BA41)</f>
        <v>0</v>
      </c>
      <c r="AZ41" s="457">
        <f>SUM(BB41:BI41)+SUM(BQ41:BX41)</f>
        <v>0</v>
      </c>
      <c r="BA41" s="457">
        <f>SUM(BJ41:BP41)+SUM(BY41:CC41)</f>
        <v>0</v>
      </c>
      <c r="BB41" s="457"/>
      <c r="BC41" s="457"/>
      <c r="BD41" s="457"/>
      <c r="BE41" s="457"/>
      <c r="BF41" s="457"/>
      <c r="BG41" s="457"/>
      <c r="BH41" s="457"/>
      <c r="BI41" s="457"/>
      <c r="BJ41" s="457"/>
      <c r="BK41" s="457"/>
      <c r="BL41" s="457"/>
      <c r="BM41" s="457"/>
      <c r="BN41" s="457"/>
      <c r="BO41" s="457"/>
      <c r="BP41" s="457"/>
      <c r="BQ41" s="457"/>
      <c r="BR41" s="457"/>
      <c r="BS41" s="457"/>
      <c r="BT41" s="457"/>
      <c r="BU41" s="457"/>
      <c r="BV41" s="457"/>
      <c r="BW41" s="457"/>
      <c r="BX41" s="457"/>
      <c r="BY41" s="457"/>
      <c r="BZ41" s="457"/>
      <c r="CA41" s="457"/>
      <c r="CB41" s="457"/>
      <c r="CC41" s="457"/>
      <c r="CD41" s="457">
        <f>SUM(CE41:CF41)</f>
        <v>0</v>
      </c>
      <c r="CE41" s="457">
        <f>SUM(CG41:CI41)</f>
        <v>0</v>
      </c>
      <c r="CF41" s="457">
        <f>SUM(CJ41:CQ41)</f>
        <v>0</v>
      </c>
      <c r="CG41" s="457"/>
      <c r="CH41" s="457"/>
      <c r="CI41" s="457"/>
      <c r="CJ41" s="457"/>
      <c r="CK41" s="457"/>
      <c r="CL41" s="457"/>
      <c r="CM41" s="457"/>
      <c r="CN41" s="457"/>
      <c r="CO41" s="457"/>
      <c r="CP41" s="457"/>
      <c r="CQ41" s="457"/>
      <c r="CR41" s="453" t="s">
        <v>251</v>
      </c>
      <c r="CS41" s="457">
        <f>CT41+CZ41+EO41+FT41+GH41</f>
        <v>12002988153</v>
      </c>
      <c r="CT41" s="457">
        <f>SUM(CU41:CY41)</f>
        <v>0</v>
      </c>
      <c r="CU41" s="457"/>
      <c r="CV41" s="457"/>
      <c r="CW41" s="457"/>
      <c r="CX41" s="457"/>
      <c r="CY41" s="457"/>
      <c r="CZ41" s="457">
        <f>SUM(DA41:EN41)</f>
        <v>12002988153</v>
      </c>
      <c r="DA41" s="457"/>
      <c r="DB41" s="457"/>
      <c r="DC41" s="457"/>
      <c r="DD41" s="457"/>
      <c r="DE41" s="457"/>
      <c r="DF41" s="457"/>
      <c r="DG41" s="457"/>
      <c r="DH41" s="457"/>
      <c r="DI41" s="457"/>
      <c r="DJ41" s="457">
        <v>1953000</v>
      </c>
      <c r="DK41" s="457"/>
      <c r="DL41" s="457"/>
      <c r="DM41" s="457"/>
      <c r="DN41" s="457"/>
      <c r="DO41" s="457"/>
      <c r="DP41" s="457"/>
      <c r="DQ41" s="457"/>
      <c r="DR41" s="457"/>
      <c r="DS41" s="457"/>
      <c r="DT41" s="457"/>
      <c r="DU41" s="457"/>
      <c r="DV41" s="457"/>
      <c r="DW41" s="457"/>
      <c r="DX41" s="457"/>
      <c r="DY41" s="457"/>
      <c r="DZ41" s="457"/>
      <c r="EA41" s="457"/>
      <c r="EB41" s="457"/>
      <c r="EC41" s="457">
        <v>9222434755</v>
      </c>
      <c r="ED41" s="457">
        <v>571149398</v>
      </c>
      <c r="EE41" s="457"/>
      <c r="EF41" s="457"/>
      <c r="EG41" s="457"/>
      <c r="EH41" s="457"/>
      <c r="EI41" s="457">
        <v>404541000</v>
      </c>
      <c r="EJ41" s="457">
        <v>589000000</v>
      </c>
      <c r="EK41" s="457">
        <f>784000000+408910000+21000000</f>
        <v>1213910000</v>
      </c>
      <c r="EL41" s="457"/>
      <c r="EM41" s="457"/>
      <c r="EN41" s="457"/>
      <c r="EO41" s="457">
        <f>SUM(EP41:EQ41)</f>
        <v>0</v>
      </c>
      <c r="EP41" s="457">
        <f>SUM(ER41:EY41)+SUM(FG41:FN41)</f>
        <v>0</v>
      </c>
      <c r="EQ41" s="457">
        <f>SUM(EZ41:FF41)+SUM(FO41:FS41)</f>
        <v>0</v>
      </c>
      <c r="ER41" s="457"/>
      <c r="ES41" s="457"/>
      <c r="ET41" s="457"/>
      <c r="EU41" s="457"/>
      <c r="EV41" s="457"/>
      <c r="EW41" s="457"/>
      <c r="EX41" s="457"/>
      <c r="EY41" s="457"/>
      <c r="EZ41" s="457"/>
      <c r="FA41" s="457"/>
      <c r="FB41" s="457"/>
      <c r="FC41" s="457"/>
      <c r="FD41" s="457"/>
      <c r="FE41" s="457"/>
      <c r="FF41" s="457"/>
      <c r="FG41" s="457"/>
      <c r="FH41" s="457"/>
      <c r="FI41" s="457"/>
      <c r="FJ41" s="457"/>
      <c r="FK41" s="457"/>
      <c r="FL41" s="457"/>
      <c r="FM41" s="457"/>
      <c r="FN41" s="457"/>
      <c r="FO41" s="457"/>
      <c r="FP41" s="457"/>
      <c r="FQ41" s="457"/>
      <c r="FR41" s="457"/>
      <c r="FS41" s="457"/>
      <c r="FT41" s="457">
        <f>SUM(FU41:FV41)</f>
        <v>0</v>
      </c>
      <c r="FU41" s="457">
        <f>SUM(FW41:FY41)</f>
        <v>0</v>
      </c>
      <c r="FV41" s="457">
        <f>SUM(FZ41:GG41)</f>
        <v>0</v>
      </c>
      <c r="FW41" s="457"/>
      <c r="FX41" s="457"/>
      <c r="FY41" s="457"/>
      <c r="FZ41" s="457"/>
      <c r="GA41" s="457"/>
      <c r="GB41" s="457"/>
      <c r="GC41" s="457"/>
      <c r="GD41" s="457"/>
      <c r="GE41" s="457"/>
      <c r="GF41" s="457"/>
      <c r="GG41" s="457"/>
      <c r="GH41" s="457"/>
      <c r="GI41" s="453" t="s">
        <v>251</v>
      </c>
      <c r="GJ41" s="455">
        <f>CS41/C41</f>
        <v>0.9926531811406946</v>
      </c>
      <c r="GK41" s="455"/>
      <c r="GL41" s="455">
        <f>CZ41/J41</f>
        <v>0.9926531811406946</v>
      </c>
      <c r="GM41" s="455"/>
      <c r="GN41" s="455"/>
    </row>
    <row r="42" spans="1:196" s="456" customFormat="1" ht="15" customHeight="1">
      <c r="A42" s="452">
        <v>10</v>
      </c>
      <c r="B42" s="453" t="s">
        <v>259</v>
      </c>
      <c r="C42" s="457">
        <f aca="true" t="shared" si="65" ref="C42:H42">C43+C44</f>
        <v>268676000</v>
      </c>
      <c r="D42" s="457">
        <f t="shared" si="65"/>
        <v>0</v>
      </c>
      <c r="E42" s="457">
        <f t="shared" si="65"/>
        <v>0</v>
      </c>
      <c r="F42" s="457">
        <f t="shared" si="65"/>
        <v>0</v>
      </c>
      <c r="G42" s="457">
        <f t="shared" si="65"/>
        <v>0</v>
      </c>
      <c r="H42" s="457">
        <f t="shared" si="65"/>
        <v>0</v>
      </c>
      <c r="I42" s="457">
        <f aca="true" t="shared" si="66" ref="I42:BY42">I43+I44</f>
        <v>0</v>
      </c>
      <c r="J42" s="457">
        <f>J43+J44</f>
        <v>268676000</v>
      </c>
      <c r="K42" s="457">
        <f t="shared" si="66"/>
        <v>0</v>
      </c>
      <c r="L42" s="457">
        <f>L43+L44</f>
        <v>0</v>
      </c>
      <c r="M42" s="457">
        <f t="shared" si="66"/>
        <v>0</v>
      </c>
      <c r="N42" s="457">
        <f t="shared" si="66"/>
        <v>0</v>
      </c>
      <c r="O42" s="457">
        <f t="shared" si="66"/>
        <v>0</v>
      </c>
      <c r="P42" s="457">
        <f t="shared" si="66"/>
        <v>0</v>
      </c>
      <c r="Q42" s="457">
        <f t="shared" si="66"/>
        <v>0</v>
      </c>
      <c r="R42" s="457">
        <f t="shared" si="66"/>
        <v>0</v>
      </c>
      <c r="S42" s="457">
        <f>S43+S44</f>
        <v>0</v>
      </c>
      <c r="T42" s="457">
        <f t="shared" si="66"/>
        <v>0</v>
      </c>
      <c r="U42" s="457">
        <f t="shared" si="66"/>
        <v>0</v>
      </c>
      <c r="V42" s="457">
        <f>V43+V44</f>
        <v>0</v>
      </c>
      <c r="W42" s="457">
        <f>W43+W44</f>
        <v>0</v>
      </c>
      <c r="X42" s="457">
        <f t="shared" si="66"/>
        <v>0</v>
      </c>
      <c r="Y42" s="457">
        <f t="shared" si="66"/>
        <v>0</v>
      </c>
      <c r="Z42" s="457">
        <f t="shared" si="66"/>
        <v>0</v>
      </c>
      <c r="AA42" s="457">
        <f t="shared" si="66"/>
        <v>0</v>
      </c>
      <c r="AB42" s="457">
        <f t="shared" si="66"/>
        <v>0</v>
      </c>
      <c r="AC42" s="457">
        <f t="shared" si="66"/>
        <v>0</v>
      </c>
      <c r="AD42" s="457">
        <f t="shared" si="66"/>
        <v>0</v>
      </c>
      <c r="AE42" s="457">
        <f t="shared" si="66"/>
        <v>0</v>
      </c>
      <c r="AF42" s="457">
        <f t="shared" si="66"/>
        <v>0</v>
      </c>
      <c r="AG42" s="457">
        <f>AG43+AG44</f>
        <v>0</v>
      </c>
      <c r="AH42" s="457">
        <f t="shared" si="66"/>
        <v>0</v>
      </c>
      <c r="AI42" s="457">
        <f t="shared" si="66"/>
        <v>0</v>
      </c>
      <c r="AJ42" s="457">
        <f t="shared" si="66"/>
        <v>0</v>
      </c>
      <c r="AK42" s="457">
        <f t="shared" si="66"/>
        <v>0</v>
      </c>
      <c r="AL42" s="457">
        <f t="shared" si="66"/>
        <v>0</v>
      </c>
      <c r="AM42" s="457">
        <f t="shared" si="66"/>
        <v>0</v>
      </c>
      <c r="AN42" s="457">
        <f t="shared" si="66"/>
        <v>0</v>
      </c>
      <c r="AO42" s="457">
        <f t="shared" si="66"/>
        <v>0</v>
      </c>
      <c r="AP42" s="457">
        <f t="shared" si="66"/>
        <v>0</v>
      </c>
      <c r="AQ42" s="457">
        <f>AQ43+AQ44</f>
        <v>0</v>
      </c>
      <c r="AR42" s="457">
        <f>AR43+AR44</f>
        <v>0</v>
      </c>
      <c r="AS42" s="457">
        <f t="shared" si="66"/>
        <v>0</v>
      </c>
      <c r="AT42" s="457">
        <f t="shared" si="66"/>
        <v>0</v>
      </c>
      <c r="AU42" s="457">
        <f t="shared" si="66"/>
        <v>268676000</v>
      </c>
      <c r="AV42" s="457">
        <f>AV43+AV44</f>
        <v>0</v>
      </c>
      <c r="AW42" s="457">
        <f t="shared" si="66"/>
        <v>0</v>
      </c>
      <c r="AX42" s="457">
        <f t="shared" si="66"/>
        <v>0</v>
      </c>
      <c r="AY42" s="457">
        <f>AY43+AY44</f>
        <v>0</v>
      </c>
      <c r="AZ42" s="457">
        <f>AZ43+AZ44</f>
        <v>0</v>
      </c>
      <c r="BA42" s="457">
        <f>BA43+BA44</f>
        <v>0</v>
      </c>
      <c r="BB42" s="457">
        <f t="shared" si="66"/>
        <v>0</v>
      </c>
      <c r="BC42" s="457">
        <f t="shared" si="66"/>
        <v>0</v>
      </c>
      <c r="BD42" s="457">
        <f t="shared" si="66"/>
        <v>0</v>
      </c>
      <c r="BE42" s="457">
        <f t="shared" si="66"/>
        <v>0</v>
      </c>
      <c r="BF42" s="457">
        <f t="shared" si="66"/>
        <v>0</v>
      </c>
      <c r="BG42" s="457">
        <f t="shared" si="66"/>
        <v>0</v>
      </c>
      <c r="BH42" s="457">
        <f t="shared" si="66"/>
        <v>0</v>
      </c>
      <c r="BI42" s="457">
        <f>BI43+BI44</f>
        <v>0</v>
      </c>
      <c r="BJ42" s="457">
        <f t="shared" si="66"/>
        <v>0</v>
      </c>
      <c r="BK42" s="457">
        <f t="shared" si="66"/>
        <v>0</v>
      </c>
      <c r="BL42" s="457">
        <f t="shared" si="66"/>
        <v>0</v>
      </c>
      <c r="BM42" s="457">
        <f t="shared" si="66"/>
        <v>0</v>
      </c>
      <c r="BN42" s="457">
        <f>BN43+BN44</f>
        <v>0</v>
      </c>
      <c r="BO42" s="457">
        <f t="shared" si="66"/>
        <v>0</v>
      </c>
      <c r="BP42" s="457">
        <f t="shared" si="66"/>
        <v>0</v>
      </c>
      <c r="BQ42" s="457">
        <f t="shared" si="66"/>
        <v>0</v>
      </c>
      <c r="BR42" s="457">
        <f t="shared" si="66"/>
        <v>0</v>
      </c>
      <c r="BS42" s="457">
        <f t="shared" si="66"/>
        <v>0</v>
      </c>
      <c r="BT42" s="457">
        <f t="shared" si="66"/>
        <v>0</v>
      </c>
      <c r="BU42" s="457">
        <f t="shared" si="66"/>
        <v>0</v>
      </c>
      <c r="BV42" s="457">
        <f t="shared" si="66"/>
        <v>0</v>
      </c>
      <c r="BW42" s="457">
        <f t="shared" si="66"/>
        <v>0</v>
      </c>
      <c r="BX42" s="457">
        <f t="shared" si="66"/>
        <v>0</v>
      </c>
      <c r="BY42" s="457">
        <f t="shared" si="66"/>
        <v>0</v>
      </c>
      <c r="BZ42" s="457">
        <f aca="true" t="shared" si="67" ref="BZ42:CP42">BZ43+BZ44</f>
        <v>0</v>
      </c>
      <c r="CA42" s="457">
        <f>CA43+CA44</f>
        <v>0</v>
      </c>
      <c r="CB42" s="457">
        <f t="shared" si="67"/>
        <v>0</v>
      </c>
      <c r="CC42" s="457">
        <f t="shared" si="67"/>
        <v>0</v>
      </c>
      <c r="CD42" s="457">
        <f t="shared" si="67"/>
        <v>0</v>
      </c>
      <c r="CE42" s="457">
        <f>CE43+CE44</f>
        <v>0</v>
      </c>
      <c r="CF42" s="457">
        <f>CF43+CF44</f>
        <v>0</v>
      </c>
      <c r="CG42" s="457">
        <f t="shared" si="67"/>
        <v>0</v>
      </c>
      <c r="CH42" s="457">
        <f>CH43+CH44</f>
        <v>0</v>
      </c>
      <c r="CI42" s="457">
        <f>CI43+CI44</f>
        <v>0</v>
      </c>
      <c r="CJ42" s="457">
        <f t="shared" si="67"/>
        <v>0</v>
      </c>
      <c r="CK42" s="457">
        <f t="shared" si="67"/>
        <v>0</v>
      </c>
      <c r="CL42" s="457">
        <f t="shared" si="67"/>
        <v>0</v>
      </c>
      <c r="CM42" s="457">
        <f t="shared" si="67"/>
        <v>0</v>
      </c>
      <c r="CN42" s="457">
        <f t="shared" si="67"/>
        <v>0</v>
      </c>
      <c r="CO42" s="457">
        <f t="shared" si="67"/>
        <v>0</v>
      </c>
      <c r="CP42" s="457">
        <f t="shared" si="67"/>
        <v>0</v>
      </c>
      <c r="CQ42" s="457">
        <f>CQ43+CQ44</f>
        <v>0</v>
      </c>
      <c r="CR42" s="453" t="s">
        <v>259</v>
      </c>
      <c r="CS42" s="457">
        <f aca="true" t="shared" si="68" ref="CS42:FI42">CS43+CS44</f>
        <v>255678300</v>
      </c>
      <c r="CT42" s="457">
        <f t="shared" si="68"/>
        <v>0</v>
      </c>
      <c r="CU42" s="457">
        <f t="shared" si="68"/>
        <v>0</v>
      </c>
      <c r="CV42" s="457">
        <f>CV43+CV44</f>
        <v>0</v>
      </c>
      <c r="CW42" s="457">
        <f>CW43+CW44</f>
        <v>0</v>
      </c>
      <c r="CX42" s="457">
        <f>CX43+CX44</f>
        <v>0</v>
      </c>
      <c r="CY42" s="457">
        <f t="shared" si="68"/>
        <v>0</v>
      </c>
      <c r="CZ42" s="457">
        <f t="shared" si="68"/>
        <v>255678300</v>
      </c>
      <c r="DA42" s="457">
        <f t="shared" si="68"/>
        <v>0</v>
      </c>
      <c r="DB42" s="457">
        <f>DB43+DB44</f>
        <v>0</v>
      </c>
      <c r="DC42" s="457">
        <f t="shared" si="68"/>
        <v>0</v>
      </c>
      <c r="DD42" s="457">
        <f t="shared" si="68"/>
        <v>0</v>
      </c>
      <c r="DE42" s="457">
        <f t="shared" si="68"/>
        <v>0</v>
      </c>
      <c r="DF42" s="457">
        <f t="shared" si="68"/>
        <v>0</v>
      </c>
      <c r="DG42" s="457">
        <f t="shared" si="68"/>
        <v>0</v>
      </c>
      <c r="DH42" s="457">
        <f t="shared" si="68"/>
        <v>0</v>
      </c>
      <c r="DI42" s="457">
        <f>DI43+DI44</f>
        <v>0</v>
      </c>
      <c r="DJ42" s="457">
        <f t="shared" si="68"/>
        <v>0</v>
      </c>
      <c r="DK42" s="457">
        <f t="shared" si="68"/>
        <v>0</v>
      </c>
      <c r="DL42" s="457">
        <f>DL43+DL44</f>
        <v>0</v>
      </c>
      <c r="DM42" s="457">
        <f>DM43+DM44</f>
        <v>0</v>
      </c>
      <c r="DN42" s="457">
        <f t="shared" si="68"/>
        <v>0</v>
      </c>
      <c r="DO42" s="457">
        <f t="shared" si="68"/>
        <v>0</v>
      </c>
      <c r="DP42" s="457">
        <f t="shared" si="68"/>
        <v>0</v>
      </c>
      <c r="DQ42" s="457">
        <f t="shared" si="68"/>
        <v>0</v>
      </c>
      <c r="DR42" s="457">
        <f t="shared" si="68"/>
        <v>0</v>
      </c>
      <c r="DS42" s="457">
        <f t="shared" si="68"/>
        <v>0</v>
      </c>
      <c r="DT42" s="457">
        <f t="shared" si="68"/>
        <v>0</v>
      </c>
      <c r="DU42" s="457">
        <f t="shared" si="68"/>
        <v>0</v>
      </c>
      <c r="DV42" s="457">
        <f t="shared" si="68"/>
        <v>0</v>
      </c>
      <c r="DW42" s="457">
        <f>DW43+DW44</f>
        <v>0</v>
      </c>
      <c r="DX42" s="457">
        <f t="shared" si="68"/>
        <v>0</v>
      </c>
      <c r="DY42" s="457">
        <f t="shared" si="68"/>
        <v>0</v>
      </c>
      <c r="DZ42" s="457">
        <f t="shared" si="68"/>
        <v>0</v>
      </c>
      <c r="EA42" s="457">
        <f t="shared" si="68"/>
        <v>0</v>
      </c>
      <c r="EB42" s="457">
        <f t="shared" si="68"/>
        <v>0</v>
      </c>
      <c r="EC42" s="457">
        <f t="shared" si="68"/>
        <v>0</v>
      </c>
      <c r="ED42" s="457">
        <f t="shared" si="68"/>
        <v>0</v>
      </c>
      <c r="EE42" s="457">
        <f t="shared" si="68"/>
        <v>0</v>
      </c>
      <c r="EF42" s="457">
        <f t="shared" si="68"/>
        <v>0</v>
      </c>
      <c r="EG42" s="457">
        <f>EG43+EG44</f>
        <v>0</v>
      </c>
      <c r="EH42" s="457">
        <f>EH43+EH44</f>
        <v>0</v>
      </c>
      <c r="EI42" s="457">
        <f t="shared" si="68"/>
        <v>0</v>
      </c>
      <c r="EJ42" s="457">
        <f t="shared" si="68"/>
        <v>0</v>
      </c>
      <c r="EK42" s="457">
        <f t="shared" si="68"/>
        <v>255678300</v>
      </c>
      <c r="EL42" s="457">
        <f>EL43+EL44</f>
        <v>0</v>
      </c>
      <c r="EM42" s="457">
        <f t="shared" si="68"/>
        <v>0</v>
      </c>
      <c r="EN42" s="457">
        <f t="shared" si="68"/>
        <v>0</v>
      </c>
      <c r="EO42" s="457">
        <f t="shared" si="68"/>
        <v>0</v>
      </c>
      <c r="EP42" s="457">
        <f t="shared" si="68"/>
        <v>0</v>
      </c>
      <c r="EQ42" s="457">
        <f t="shared" si="68"/>
        <v>0</v>
      </c>
      <c r="ER42" s="457">
        <f t="shared" si="68"/>
        <v>0</v>
      </c>
      <c r="ES42" s="457">
        <f t="shared" si="68"/>
        <v>0</v>
      </c>
      <c r="ET42" s="457">
        <f t="shared" si="68"/>
        <v>0</v>
      </c>
      <c r="EU42" s="457">
        <f t="shared" si="68"/>
        <v>0</v>
      </c>
      <c r="EV42" s="457">
        <f t="shared" si="68"/>
        <v>0</v>
      </c>
      <c r="EW42" s="457">
        <f t="shared" si="68"/>
        <v>0</v>
      </c>
      <c r="EX42" s="457">
        <f t="shared" si="68"/>
        <v>0</v>
      </c>
      <c r="EY42" s="457">
        <f>EY43+EY44</f>
        <v>0</v>
      </c>
      <c r="EZ42" s="457">
        <f t="shared" si="68"/>
        <v>0</v>
      </c>
      <c r="FA42" s="457">
        <f t="shared" si="68"/>
        <v>0</v>
      </c>
      <c r="FB42" s="457">
        <f t="shared" si="68"/>
        <v>0</v>
      </c>
      <c r="FC42" s="457">
        <f t="shared" si="68"/>
        <v>0</v>
      </c>
      <c r="FD42" s="457">
        <f>FD43+FD44</f>
        <v>0</v>
      </c>
      <c r="FE42" s="457">
        <f t="shared" si="68"/>
        <v>0</v>
      </c>
      <c r="FF42" s="457">
        <f t="shared" si="68"/>
        <v>0</v>
      </c>
      <c r="FG42" s="457">
        <f t="shared" si="68"/>
        <v>0</v>
      </c>
      <c r="FH42" s="457">
        <f t="shared" si="68"/>
        <v>0</v>
      </c>
      <c r="FI42" s="457">
        <f t="shared" si="68"/>
        <v>0</v>
      </c>
      <c r="FJ42" s="457">
        <f aca="true" t="shared" si="69" ref="FJ42:GF42">FJ43+FJ44</f>
        <v>0</v>
      </c>
      <c r="FK42" s="457">
        <f t="shared" si="69"/>
        <v>0</v>
      </c>
      <c r="FL42" s="457">
        <f t="shared" si="69"/>
        <v>0</v>
      </c>
      <c r="FM42" s="457">
        <f t="shared" si="69"/>
        <v>0</v>
      </c>
      <c r="FN42" s="457">
        <f t="shared" si="69"/>
        <v>0</v>
      </c>
      <c r="FO42" s="457">
        <f t="shared" si="69"/>
        <v>0</v>
      </c>
      <c r="FP42" s="457">
        <f t="shared" si="69"/>
        <v>0</v>
      </c>
      <c r="FQ42" s="457">
        <f>FQ43+FQ44</f>
        <v>0</v>
      </c>
      <c r="FR42" s="457">
        <f t="shared" si="69"/>
        <v>0</v>
      </c>
      <c r="FS42" s="457">
        <f t="shared" si="69"/>
        <v>0</v>
      </c>
      <c r="FT42" s="457">
        <f t="shared" si="69"/>
        <v>0</v>
      </c>
      <c r="FU42" s="457">
        <f t="shared" si="69"/>
        <v>0</v>
      </c>
      <c r="FV42" s="457">
        <f t="shared" si="69"/>
        <v>0</v>
      </c>
      <c r="FW42" s="457">
        <f t="shared" si="69"/>
        <v>0</v>
      </c>
      <c r="FX42" s="457">
        <f>FX43+FX44</f>
        <v>0</v>
      </c>
      <c r="FY42" s="457"/>
      <c r="FZ42" s="457">
        <f t="shared" si="69"/>
        <v>0</v>
      </c>
      <c r="GA42" s="457">
        <f t="shared" si="69"/>
        <v>0</v>
      </c>
      <c r="GB42" s="457">
        <f t="shared" si="69"/>
        <v>0</v>
      </c>
      <c r="GC42" s="457">
        <f t="shared" si="69"/>
        <v>0</v>
      </c>
      <c r="GD42" s="457">
        <f t="shared" si="69"/>
        <v>0</v>
      </c>
      <c r="GE42" s="457">
        <f t="shared" si="69"/>
        <v>0</v>
      </c>
      <c r="GF42" s="457">
        <f t="shared" si="69"/>
        <v>0</v>
      </c>
      <c r="GG42" s="457">
        <f>GG43+GG44</f>
        <v>0</v>
      </c>
      <c r="GH42" s="457">
        <f>GH43+GH44</f>
        <v>0</v>
      </c>
      <c r="GI42" s="453" t="s">
        <v>259</v>
      </c>
      <c r="GJ42" s="455">
        <f>CS42/C42</f>
        <v>0.9516231446053983</v>
      </c>
      <c r="GK42" s="455"/>
      <c r="GL42" s="455">
        <f>CZ42/J42</f>
        <v>0.9516231446053983</v>
      </c>
      <c r="GM42" s="455"/>
      <c r="GN42" s="455"/>
    </row>
    <row r="43" spans="1:196" s="456" customFormat="1" ht="15" customHeight="1" hidden="1">
      <c r="A43" s="452"/>
      <c r="B43" s="453" t="s">
        <v>250</v>
      </c>
      <c r="C43" s="457">
        <f>D43+J43+AY43+CD43</f>
        <v>0</v>
      </c>
      <c r="D43" s="457">
        <f>SUM(E43:I43)</f>
        <v>0</v>
      </c>
      <c r="E43" s="457"/>
      <c r="F43" s="457"/>
      <c r="G43" s="457"/>
      <c r="H43" s="457"/>
      <c r="I43" s="457"/>
      <c r="J43" s="457">
        <f>SUM(K43:AX43)</f>
        <v>0</v>
      </c>
      <c r="K43" s="457"/>
      <c r="L43" s="457"/>
      <c r="M43" s="457"/>
      <c r="N43" s="457"/>
      <c r="O43" s="457"/>
      <c r="P43" s="457"/>
      <c r="Q43" s="457"/>
      <c r="R43" s="457"/>
      <c r="S43" s="457"/>
      <c r="T43" s="457"/>
      <c r="U43" s="457"/>
      <c r="V43" s="457"/>
      <c r="W43" s="457"/>
      <c r="X43" s="457"/>
      <c r="Y43" s="457"/>
      <c r="Z43" s="457"/>
      <c r="AA43" s="457"/>
      <c r="AB43" s="457"/>
      <c r="AC43" s="457"/>
      <c r="AD43" s="457"/>
      <c r="AE43" s="457"/>
      <c r="AF43" s="457"/>
      <c r="AG43" s="457"/>
      <c r="AH43" s="457"/>
      <c r="AI43" s="457"/>
      <c r="AJ43" s="457"/>
      <c r="AK43" s="457"/>
      <c r="AL43" s="457"/>
      <c r="AM43" s="457"/>
      <c r="AN43" s="457"/>
      <c r="AO43" s="457"/>
      <c r="AP43" s="457"/>
      <c r="AQ43" s="457"/>
      <c r="AR43" s="457"/>
      <c r="AS43" s="457"/>
      <c r="AT43" s="457"/>
      <c r="AU43" s="457"/>
      <c r="AV43" s="457"/>
      <c r="AW43" s="457"/>
      <c r="AX43" s="457"/>
      <c r="AY43" s="457">
        <f>SUM(AZ43:BA43)</f>
        <v>0</v>
      </c>
      <c r="AZ43" s="457">
        <f>SUM(BB43:BI43)+SUM(BQ43:BX43)</f>
        <v>0</v>
      </c>
      <c r="BA43" s="457">
        <f>SUM(BJ43:BP43)+SUM(BY43:CC43)</f>
        <v>0</v>
      </c>
      <c r="BB43" s="457"/>
      <c r="BC43" s="457"/>
      <c r="BD43" s="457"/>
      <c r="BE43" s="457"/>
      <c r="BF43" s="457"/>
      <c r="BG43" s="457"/>
      <c r="BH43" s="457"/>
      <c r="BI43" s="457"/>
      <c r="BJ43" s="457"/>
      <c r="BK43" s="457"/>
      <c r="BL43" s="457"/>
      <c r="BM43" s="457"/>
      <c r="BN43" s="457"/>
      <c r="BO43" s="457"/>
      <c r="BP43" s="457"/>
      <c r="BQ43" s="457"/>
      <c r="BR43" s="457"/>
      <c r="BS43" s="457"/>
      <c r="BT43" s="457"/>
      <c r="BU43" s="457"/>
      <c r="BV43" s="457"/>
      <c r="BW43" s="457"/>
      <c r="BX43" s="457"/>
      <c r="BY43" s="457"/>
      <c r="BZ43" s="457"/>
      <c r="CA43" s="457"/>
      <c r="CB43" s="457"/>
      <c r="CC43" s="457"/>
      <c r="CD43" s="457">
        <f>SUM(CE43:CF43)</f>
        <v>0</v>
      </c>
      <c r="CE43" s="457">
        <f>SUM(CG43:CI43)</f>
        <v>0</v>
      </c>
      <c r="CF43" s="457">
        <f>SUM(CJ43:CQ43)</f>
        <v>0</v>
      </c>
      <c r="CG43" s="457"/>
      <c r="CH43" s="457"/>
      <c r="CI43" s="457"/>
      <c r="CJ43" s="457"/>
      <c r="CK43" s="457"/>
      <c r="CL43" s="457"/>
      <c r="CM43" s="457"/>
      <c r="CN43" s="457"/>
      <c r="CO43" s="457"/>
      <c r="CP43" s="457"/>
      <c r="CQ43" s="457"/>
      <c r="CR43" s="453" t="s">
        <v>250</v>
      </c>
      <c r="CS43" s="457">
        <f>CT43+CZ43+EO43+FT43+GH43</f>
        <v>0</v>
      </c>
      <c r="CT43" s="457">
        <f>SUM(CU43:CY43)</f>
        <v>0</v>
      </c>
      <c r="CU43" s="457"/>
      <c r="CV43" s="457"/>
      <c r="CW43" s="457"/>
      <c r="CX43" s="457"/>
      <c r="CY43" s="457"/>
      <c r="CZ43" s="457">
        <f>SUM(DA43:EN43)</f>
        <v>0</v>
      </c>
      <c r="DA43" s="457"/>
      <c r="DB43" s="457"/>
      <c r="DC43" s="457"/>
      <c r="DD43" s="457"/>
      <c r="DE43" s="457"/>
      <c r="DF43" s="457"/>
      <c r="DG43" s="457"/>
      <c r="DH43" s="457"/>
      <c r="DI43" s="457"/>
      <c r="DJ43" s="457"/>
      <c r="DK43" s="457"/>
      <c r="DL43" s="457"/>
      <c r="DM43" s="457"/>
      <c r="DN43" s="457"/>
      <c r="DO43" s="457"/>
      <c r="DP43" s="457"/>
      <c r="DQ43" s="457"/>
      <c r="DR43" s="457"/>
      <c r="DS43" s="457"/>
      <c r="DT43" s="457"/>
      <c r="DU43" s="457"/>
      <c r="DV43" s="457"/>
      <c r="DW43" s="457"/>
      <c r="DX43" s="457"/>
      <c r="DY43" s="457"/>
      <c r="DZ43" s="457"/>
      <c r="EA43" s="457"/>
      <c r="EB43" s="457"/>
      <c r="EC43" s="457"/>
      <c r="ED43" s="457"/>
      <c r="EE43" s="457"/>
      <c r="EF43" s="457"/>
      <c r="EG43" s="457"/>
      <c r="EH43" s="457"/>
      <c r="EI43" s="457"/>
      <c r="EJ43" s="457"/>
      <c r="EK43" s="457"/>
      <c r="EL43" s="457"/>
      <c r="EM43" s="457"/>
      <c r="EN43" s="457"/>
      <c r="EO43" s="457">
        <f>SUM(EP43:EQ43)</f>
        <v>0</v>
      </c>
      <c r="EP43" s="457">
        <f>SUM(ER43:EY43)+SUM(FG43:FN43)</f>
        <v>0</v>
      </c>
      <c r="EQ43" s="457">
        <f>SUM(EZ43:FF43)+SUM(FO43:FS43)</f>
        <v>0</v>
      </c>
      <c r="ER43" s="457"/>
      <c r="ES43" s="457"/>
      <c r="ET43" s="457"/>
      <c r="EU43" s="457"/>
      <c r="EV43" s="457"/>
      <c r="EW43" s="457"/>
      <c r="EX43" s="457"/>
      <c r="EY43" s="457"/>
      <c r="EZ43" s="457"/>
      <c r="FA43" s="457"/>
      <c r="FB43" s="457"/>
      <c r="FC43" s="457"/>
      <c r="FD43" s="457"/>
      <c r="FE43" s="457"/>
      <c r="FF43" s="457"/>
      <c r="FG43" s="457"/>
      <c r="FH43" s="457"/>
      <c r="FI43" s="457"/>
      <c r="FJ43" s="457"/>
      <c r="FK43" s="457"/>
      <c r="FL43" s="457"/>
      <c r="FM43" s="457"/>
      <c r="FN43" s="457"/>
      <c r="FO43" s="457"/>
      <c r="FP43" s="457"/>
      <c r="FQ43" s="457"/>
      <c r="FR43" s="457"/>
      <c r="FS43" s="457"/>
      <c r="FT43" s="457">
        <f>SUM(FU43:FV43)</f>
        <v>0</v>
      </c>
      <c r="FU43" s="457">
        <f>SUM(FW43:FY43)</f>
        <v>0</v>
      </c>
      <c r="FV43" s="457">
        <f>SUM(FZ43:GG43)</f>
        <v>0</v>
      </c>
      <c r="FW43" s="457"/>
      <c r="FX43" s="457"/>
      <c r="FY43" s="457"/>
      <c r="FZ43" s="457"/>
      <c r="GA43" s="457"/>
      <c r="GB43" s="457"/>
      <c r="GC43" s="457"/>
      <c r="GD43" s="457"/>
      <c r="GE43" s="457"/>
      <c r="GF43" s="457"/>
      <c r="GG43" s="457"/>
      <c r="GH43" s="457"/>
      <c r="GI43" s="453" t="s">
        <v>250</v>
      </c>
      <c r="GJ43" s="455"/>
      <c r="GK43" s="455"/>
      <c r="GL43" s="455"/>
      <c r="GM43" s="455"/>
      <c r="GN43" s="455"/>
    </row>
    <row r="44" spans="1:196" s="456" customFormat="1" ht="15" customHeight="1" hidden="1">
      <c r="A44" s="452"/>
      <c r="B44" s="453" t="s">
        <v>251</v>
      </c>
      <c r="C44" s="457">
        <f>D44+J44+AY44+CD44</f>
        <v>268676000</v>
      </c>
      <c r="D44" s="457">
        <f>SUM(E44:I44)</f>
        <v>0</v>
      </c>
      <c r="E44" s="457"/>
      <c r="F44" s="457"/>
      <c r="G44" s="457"/>
      <c r="H44" s="457"/>
      <c r="I44" s="457"/>
      <c r="J44" s="457">
        <f>SUM(K44:AX44)</f>
        <v>268676000</v>
      </c>
      <c r="K44" s="457"/>
      <c r="L44" s="457"/>
      <c r="M44" s="457"/>
      <c r="N44" s="457"/>
      <c r="O44" s="457"/>
      <c r="P44" s="457"/>
      <c r="Q44" s="457"/>
      <c r="R44" s="457"/>
      <c r="S44" s="457"/>
      <c r="T44" s="457"/>
      <c r="U44" s="457"/>
      <c r="V44" s="457"/>
      <c r="W44" s="457"/>
      <c r="X44" s="457"/>
      <c r="Y44" s="457"/>
      <c r="Z44" s="457"/>
      <c r="AA44" s="457"/>
      <c r="AB44" s="457"/>
      <c r="AC44" s="457"/>
      <c r="AD44" s="457"/>
      <c r="AE44" s="457"/>
      <c r="AF44" s="457"/>
      <c r="AG44" s="457"/>
      <c r="AH44" s="457"/>
      <c r="AI44" s="457"/>
      <c r="AJ44" s="457"/>
      <c r="AK44" s="457"/>
      <c r="AL44" s="457"/>
      <c r="AM44" s="457"/>
      <c r="AN44" s="457"/>
      <c r="AO44" s="457"/>
      <c r="AP44" s="457"/>
      <c r="AQ44" s="457"/>
      <c r="AR44" s="457"/>
      <c r="AS44" s="457"/>
      <c r="AT44" s="457"/>
      <c r="AU44" s="457">
        <v>268676000</v>
      </c>
      <c r="AV44" s="457"/>
      <c r="AW44" s="457"/>
      <c r="AX44" s="457"/>
      <c r="AY44" s="457">
        <f>SUM(AZ44:BA44)</f>
        <v>0</v>
      </c>
      <c r="AZ44" s="457">
        <f>SUM(BB44:BI44)+SUM(BQ44:BX44)</f>
        <v>0</v>
      </c>
      <c r="BA44" s="457">
        <f>SUM(BJ44:BP44)+SUM(BY44:CC44)</f>
        <v>0</v>
      </c>
      <c r="BB44" s="457"/>
      <c r="BC44" s="457"/>
      <c r="BD44" s="457"/>
      <c r="BE44" s="457"/>
      <c r="BF44" s="457"/>
      <c r="BG44" s="457"/>
      <c r="BH44" s="457"/>
      <c r="BI44" s="457"/>
      <c r="BJ44" s="457"/>
      <c r="BK44" s="457"/>
      <c r="BL44" s="457"/>
      <c r="BM44" s="457"/>
      <c r="BN44" s="457"/>
      <c r="BO44" s="457"/>
      <c r="BP44" s="457"/>
      <c r="BQ44" s="457"/>
      <c r="BR44" s="457"/>
      <c r="BS44" s="457"/>
      <c r="BT44" s="457"/>
      <c r="BU44" s="457"/>
      <c r="BV44" s="457"/>
      <c r="BW44" s="457"/>
      <c r="BX44" s="457"/>
      <c r="BY44" s="457"/>
      <c r="BZ44" s="457"/>
      <c r="CA44" s="457"/>
      <c r="CB44" s="457"/>
      <c r="CC44" s="457"/>
      <c r="CD44" s="457">
        <f>SUM(CE44:CF44)</f>
        <v>0</v>
      </c>
      <c r="CE44" s="457">
        <f>SUM(CG44:CI44)</f>
        <v>0</v>
      </c>
      <c r="CF44" s="457">
        <f>SUM(CJ44:CQ44)</f>
        <v>0</v>
      </c>
      <c r="CG44" s="457"/>
      <c r="CH44" s="457"/>
      <c r="CI44" s="457"/>
      <c r="CJ44" s="457"/>
      <c r="CK44" s="457"/>
      <c r="CL44" s="457"/>
      <c r="CM44" s="457"/>
      <c r="CN44" s="457"/>
      <c r="CO44" s="457"/>
      <c r="CP44" s="457"/>
      <c r="CQ44" s="457"/>
      <c r="CR44" s="453" t="s">
        <v>251</v>
      </c>
      <c r="CS44" s="457">
        <f>CT44+CZ44+EO44+FT44+GH44</f>
        <v>255678300</v>
      </c>
      <c r="CT44" s="457">
        <f>SUM(CU44:CY44)</f>
        <v>0</v>
      </c>
      <c r="CU44" s="457"/>
      <c r="CV44" s="457"/>
      <c r="CW44" s="457"/>
      <c r="CX44" s="457"/>
      <c r="CY44" s="457"/>
      <c r="CZ44" s="457">
        <f>SUM(DA44:EN44)</f>
        <v>255678300</v>
      </c>
      <c r="DA44" s="457"/>
      <c r="DB44" s="457"/>
      <c r="DC44" s="457"/>
      <c r="DD44" s="457"/>
      <c r="DE44" s="457"/>
      <c r="DF44" s="457"/>
      <c r="DG44" s="457"/>
      <c r="DH44" s="457"/>
      <c r="DI44" s="457"/>
      <c r="DJ44" s="457"/>
      <c r="DK44" s="457"/>
      <c r="DL44" s="457"/>
      <c r="DM44" s="457"/>
      <c r="DN44" s="457"/>
      <c r="DO44" s="457"/>
      <c r="DP44" s="457"/>
      <c r="DQ44" s="457"/>
      <c r="DR44" s="457"/>
      <c r="DS44" s="457"/>
      <c r="DT44" s="457"/>
      <c r="DU44" s="457"/>
      <c r="DV44" s="457"/>
      <c r="DW44" s="457"/>
      <c r="DX44" s="457"/>
      <c r="DY44" s="457"/>
      <c r="DZ44" s="457"/>
      <c r="EA44" s="457"/>
      <c r="EB44" s="457"/>
      <c r="EC44" s="457"/>
      <c r="ED44" s="457"/>
      <c r="EE44" s="457"/>
      <c r="EF44" s="457"/>
      <c r="EG44" s="457"/>
      <c r="EH44" s="457"/>
      <c r="EI44" s="457"/>
      <c r="EJ44" s="457"/>
      <c r="EK44" s="457">
        <v>255678300</v>
      </c>
      <c r="EL44" s="457"/>
      <c r="EM44" s="457"/>
      <c r="EN44" s="457"/>
      <c r="EO44" s="457">
        <f>SUM(EP44:EQ44)</f>
        <v>0</v>
      </c>
      <c r="EP44" s="457">
        <f>SUM(ER44:EY44)+SUM(FG44:FN44)</f>
        <v>0</v>
      </c>
      <c r="EQ44" s="457">
        <f>SUM(EZ44:FF44)+SUM(FO44:FS44)</f>
        <v>0</v>
      </c>
      <c r="ER44" s="457"/>
      <c r="ES44" s="457"/>
      <c r="ET44" s="457"/>
      <c r="EU44" s="457"/>
      <c r="EV44" s="457"/>
      <c r="EW44" s="457"/>
      <c r="EX44" s="457"/>
      <c r="EY44" s="457"/>
      <c r="EZ44" s="457"/>
      <c r="FA44" s="457"/>
      <c r="FB44" s="457"/>
      <c r="FC44" s="457"/>
      <c r="FD44" s="457"/>
      <c r="FE44" s="457"/>
      <c r="FF44" s="457"/>
      <c r="FG44" s="457"/>
      <c r="FH44" s="457"/>
      <c r="FI44" s="457"/>
      <c r="FJ44" s="457"/>
      <c r="FK44" s="457"/>
      <c r="FL44" s="457"/>
      <c r="FM44" s="457"/>
      <c r="FN44" s="457"/>
      <c r="FO44" s="457"/>
      <c r="FP44" s="457"/>
      <c r="FQ44" s="457"/>
      <c r="FR44" s="457"/>
      <c r="FS44" s="457"/>
      <c r="FT44" s="457">
        <f>SUM(FU44:FV44)</f>
        <v>0</v>
      </c>
      <c r="FU44" s="457">
        <f>SUM(FW44:FY44)</f>
        <v>0</v>
      </c>
      <c r="FV44" s="457">
        <f>SUM(FZ44:GG44)</f>
        <v>0</v>
      </c>
      <c r="FW44" s="457"/>
      <c r="FX44" s="457"/>
      <c r="FY44" s="457"/>
      <c r="FZ44" s="457"/>
      <c r="GA44" s="457"/>
      <c r="GB44" s="457"/>
      <c r="GC44" s="457"/>
      <c r="GD44" s="457"/>
      <c r="GE44" s="457"/>
      <c r="GF44" s="457"/>
      <c r="GG44" s="457"/>
      <c r="GH44" s="457"/>
      <c r="GI44" s="453" t="s">
        <v>251</v>
      </c>
      <c r="GJ44" s="455">
        <f>CS44/C44</f>
        <v>0.9516231446053983</v>
      </c>
      <c r="GK44" s="455"/>
      <c r="GL44" s="455">
        <f>CZ44/J44</f>
        <v>0.9516231446053983</v>
      </c>
      <c r="GM44" s="455"/>
      <c r="GN44" s="455"/>
    </row>
    <row r="45" spans="1:196" s="456" customFormat="1" ht="15" customHeight="1">
      <c r="A45" s="452">
        <v>11</v>
      </c>
      <c r="B45" s="453" t="s">
        <v>260</v>
      </c>
      <c r="C45" s="457">
        <f aca="true" t="shared" si="70" ref="C45:H45">C46+C47</f>
        <v>2041284000</v>
      </c>
      <c r="D45" s="457">
        <f t="shared" si="70"/>
        <v>0</v>
      </c>
      <c r="E45" s="457">
        <f t="shared" si="70"/>
        <v>0</v>
      </c>
      <c r="F45" s="457">
        <f t="shared" si="70"/>
        <v>0</v>
      </c>
      <c r="G45" s="457">
        <f t="shared" si="70"/>
        <v>0</v>
      </c>
      <c r="H45" s="457">
        <f t="shared" si="70"/>
        <v>0</v>
      </c>
      <c r="I45" s="457">
        <f aca="true" t="shared" si="71" ref="I45:BY45">I46+I47</f>
        <v>0</v>
      </c>
      <c r="J45" s="457">
        <f>J46+J47</f>
        <v>2041284000</v>
      </c>
      <c r="K45" s="457">
        <f t="shared" si="71"/>
        <v>0</v>
      </c>
      <c r="L45" s="457">
        <f>L46+L47</f>
        <v>0</v>
      </c>
      <c r="M45" s="457">
        <f t="shared" si="71"/>
        <v>0</v>
      </c>
      <c r="N45" s="457">
        <f t="shared" si="71"/>
        <v>0</v>
      </c>
      <c r="O45" s="457">
        <f t="shared" si="71"/>
        <v>0</v>
      </c>
      <c r="P45" s="457">
        <f t="shared" si="71"/>
        <v>0</v>
      </c>
      <c r="Q45" s="457">
        <f t="shared" si="71"/>
        <v>0</v>
      </c>
      <c r="R45" s="457">
        <f t="shared" si="71"/>
        <v>0</v>
      </c>
      <c r="S45" s="457">
        <f>S46+S47</f>
        <v>0</v>
      </c>
      <c r="T45" s="457">
        <f t="shared" si="71"/>
        <v>1953000</v>
      </c>
      <c r="U45" s="457">
        <f t="shared" si="71"/>
        <v>0</v>
      </c>
      <c r="V45" s="457">
        <f>V46+V47</f>
        <v>0</v>
      </c>
      <c r="W45" s="457">
        <f>W46+W47</f>
        <v>0</v>
      </c>
      <c r="X45" s="457">
        <f t="shared" si="71"/>
        <v>0</v>
      </c>
      <c r="Y45" s="457">
        <f t="shared" si="71"/>
        <v>0</v>
      </c>
      <c r="Z45" s="457">
        <f t="shared" si="71"/>
        <v>0</v>
      </c>
      <c r="AA45" s="457">
        <f t="shared" si="71"/>
        <v>0</v>
      </c>
      <c r="AB45" s="457">
        <f t="shared" si="71"/>
        <v>0</v>
      </c>
      <c r="AC45" s="457">
        <f t="shared" si="71"/>
        <v>0</v>
      </c>
      <c r="AD45" s="457">
        <f t="shared" si="71"/>
        <v>0</v>
      </c>
      <c r="AE45" s="457">
        <f t="shared" si="71"/>
        <v>0</v>
      </c>
      <c r="AF45" s="457">
        <f t="shared" si="71"/>
        <v>0</v>
      </c>
      <c r="AG45" s="457">
        <f>AG46+AG47</f>
        <v>0</v>
      </c>
      <c r="AH45" s="457">
        <f t="shared" si="71"/>
        <v>0</v>
      </c>
      <c r="AI45" s="457">
        <f t="shared" si="71"/>
        <v>0</v>
      </c>
      <c r="AJ45" s="457">
        <f t="shared" si="71"/>
        <v>0</v>
      </c>
      <c r="AK45" s="457">
        <f t="shared" si="71"/>
        <v>0</v>
      </c>
      <c r="AL45" s="457">
        <f t="shared" si="71"/>
        <v>0</v>
      </c>
      <c r="AM45" s="457">
        <f t="shared" si="71"/>
        <v>0</v>
      </c>
      <c r="AN45" s="457">
        <f t="shared" si="71"/>
        <v>0</v>
      </c>
      <c r="AO45" s="457">
        <f t="shared" si="71"/>
        <v>0</v>
      </c>
      <c r="AP45" s="457">
        <f t="shared" si="71"/>
        <v>0</v>
      </c>
      <c r="AQ45" s="457">
        <f>AQ46+AQ47</f>
        <v>0</v>
      </c>
      <c r="AR45" s="457">
        <f>AR46+AR47</f>
        <v>0</v>
      </c>
      <c r="AS45" s="457">
        <f t="shared" si="71"/>
        <v>0</v>
      </c>
      <c r="AT45" s="457">
        <f t="shared" si="71"/>
        <v>0</v>
      </c>
      <c r="AU45" s="457">
        <f t="shared" si="71"/>
        <v>2039331000</v>
      </c>
      <c r="AV45" s="457">
        <f>AV46+AV47</f>
        <v>0</v>
      </c>
      <c r="AW45" s="457">
        <f t="shared" si="71"/>
        <v>0</v>
      </c>
      <c r="AX45" s="457">
        <f t="shared" si="71"/>
        <v>0</v>
      </c>
      <c r="AY45" s="457">
        <f>AY46+AY47</f>
        <v>0</v>
      </c>
      <c r="AZ45" s="457">
        <f>AZ46+AZ47</f>
        <v>0</v>
      </c>
      <c r="BA45" s="457">
        <f>BA46+BA47</f>
        <v>0</v>
      </c>
      <c r="BB45" s="457">
        <f t="shared" si="71"/>
        <v>0</v>
      </c>
      <c r="BC45" s="457">
        <f t="shared" si="71"/>
        <v>0</v>
      </c>
      <c r="BD45" s="457">
        <f t="shared" si="71"/>
        <v>0</v>
      </c>
      <c r="BE45" s="457">
        <f t="shared" si="71"/>
        <v>0</v>
      </c>
      <c r="BF45" s="457">
        <f t="shared" si="71"/>
        <v>0</v>
      </c>
      <c r="BG45" s="457">
        <f t="shared" si="71"/>
        <v>0</v>
      </c>
      <c r="BH45" s="457">
        <f t="shared" si="71"/>
        <v>0</v>
      </c>
      <c r="BI45" s="457">
        <f>BI46+BI47</f>
        <v>0</v>
      </c>
      <c r="BJ45" s="457">
        <f t="shared" si="71"/>
        <v>0</v>
      </c>
      <c r="BK45" s="457">
        <f t="shared" si="71"/>
        <v>0</v>
      </c>
      <c r="BL45" s="457">
        <f t="shared" si="71"/>
        <v>0</v>
      </c>
      <c r="BM45" s="457">
        <f t="shared" si="71"/>
        <v>0</v>
      </c>
      <c r="BN45" s="457">
        <f>BN46+BN47</f>
        <v>0</v>
      </c>
      <c r="BO45" s="457">
        <f t="shared" si="71"/>
        <v>0</v>
      </c>
      <c r="BP45" s="457">
        <f t="shared" si="71"/>
        <v>0</v>
      </c>
      <c r="BQ45" s="457">
        <f t="shared" si="71"/>
        <v>0</v>
      </c>
      <c r="BR45" s="457">
        <f t="shared" si="71"/>
        <v>0</v>
      </c>
      <c r="BS45" s="457">
        <f t="shared" si="71"/>
        <v>0</v>
      </c>
      <c r="BT45" s="457">
        <f t="shared" si="71"/>
        <v>0</v>
      </c>
      <c r="BU45" s="457">
        <f t="shared" si="71"/>
        <v>0</v>
      </c>
      <c r="BV45" s="457">
        <f t="shared" si="71"/>
        <v>0</v>
      </c>
      <c r="BW45" s="457">
        <f t="shared" si="71"/>
        <v>0</v>
      </c>
      <c r="BX45" s="457">
        <f t="shared" si="71"/>
        <v>0</v>
      </c>
      <c r="BY45" s="457">
        <f t="shared" si="71"/>
        <v>0</v>
      </c>
      <c r="BZ45" s="457">
        <f aca="true" t="shared" si="72" ref="BZ45:CP45">BZ46+BZ47</f>
        <v>0</v>
      </c>
      <c r="CA45" s="457">
        <f>CA46+CA47</f>
        <v>0</v>
      </c>
      <c r="CB45" s="457">
        <f t="shared" si="72"/>
        <v>0</v>
      </c>
      <c r="CC45" s="457">
        <f t="shared" si="72"/>
        <v>0</v>
      </c>
      <c r="CD45" s="457">
        <f t="shared" si="72"/>
        <v>0</v>
      </c>
      <c r="CE45" s="457">
        <f>CE46+CE47</f>
        <v>0</v>
      </c>
      <c r="CF45" s="457">
        <f>CF46+CF47</f>
        <v>0</v>
      </c>
      <c r="CG45" s="457">
        <f t="shared" si="72"/>
        <v>0</v>
      </c>
      <c r="CH45" s="457">
        <f>CH46+CH47</f>
        <v>0</v>
      </c>
      <c r="CI45" s="457">
        <f>CI46+CI47</f>
        <v>0</v>
      </c>
      <c r="CJ45" s="457">
        <f t="shared" si="72"/>
        <v>0</v>
      </c>
      <c r="CK45" s="457">
        <f t="shared" si="72"/>
        <v>0</v>
      </c>
      <c r="CL45" s="457">
        <f t="shared" si="72"/>
        <v>0</v>
      </c>
      <c r="CM45" s="457">
        <f t="shared" si="72"/>
        <v>0</v>
      </c>
      <c r="CN45" s="457">
        <f t="shared" si="72"/>
        <v>0</v>
      </c>
      <c r="CO45" s="457">
        <f t="shared" si="72"/>
        <v>0</v>
      </c>
      <c r="CP45" s="457">
        <f t="shared" si="72"/>
        <v>0</v>
      </c>
      <c r="CQ45" s="457">
        <f>CQ46+CQ47</f>
        <v>0</v>
      </c>
      <c r="CR45" s="453" t="s">
        <v>260</v>
      </c>
      <c r="CS45" s="457">
        <f aca="true" t="shared" si="73" ref="CS45:FI45">CS46+CS47</f>
        <v>2041284000</v>
      </c>
      <c r="CT45" s="457">
        <f t="shared" si="73"/>
        <v>0</v>
      </c>
      <c r="CU45" s="457">
        <f t="shared" si="73"/>
        <v>0</v>
      </c>
      <c r="CV45" s="457">
        <f>CV46+CV47</f>
        <v>0</v>
      </c>
      <c r="CW45" s="457">
        <f>CW46+CW47</f>
        <v>0</v>
      </c>
      <c r="CX45" s="457">
        <f>CX46+CX47</f>
        <v>0</v>
      </c>
      <c r="CY45" s="457">
        <f t="shared" si="73"/>
        <v>0</v>
      </c>
      <c r="CZ45" s="457">
        <f t="shared" si="73"/>
        <v>2041284000</v>
      </c>
      <c r="DA45" s="457">
        <f t="shared" si="73"/>
        <v>0</v>
      </c>
      <c r="DB45" s="457">
        <f>DB46+DB47</f>
        <v>0</v>
      </c>
      <c r="DC45" s="457">
        <f t="shared" si="73"/>
        <v>0</v>
      </c>
      <c r="DD45" s="457">
        <f t="shared" si="73"/>
        <v>0</v>
      </c>
      <c r="DE45" s="457">
        <f t="shared" si="73"/>
        <v>0</v>
      </c>
      <c r="DF45" s="457">
        <f t="shared" si="73"/>
        <v>0</v>
      </c>
      <c r="DG45" s="457">
        <f t="shared" si="73"/>
        <v>0</v>
      </c>
      <c r="DH45" s="457">
        <f t="shared" si="73"/>
        <v>0</v>
      </c>
      <c r="DI45" s="457">
        <f>DI46+DI47</f>
        <v>0</v>
      </c>
      <c r="DJ45" s="457">
        <f t="shared" si="73"/>
        <v>1953000</v>
      </c>
      <c r="DK45" s="457">
        <f t="shared" si="73"/>
        <v>0</v>
      </c>
      <c r="DL45" s="457">
        <f>DL46+DL47</f>
        <v>0</v>
      </c>
      <c r="DM45" s="457">
        <f>DM46+DM47</f>
        <v>0</v>
      </c>
      <c r="DN45" s="457">
        <f t="shared" si="73"/>
        <v>0</v>
      </c>
      <c r="DO45" s="457">
        <f t="shared" si="73"/>
        <v>0</v>
      </c>
      <c r="DP45" s="457">
        <f t="shared" si="73"/>
        <v>0</v>
      </c>
      <c r="DQ45" s="457">
        <f t="shared" si="73"/>
        <v>0</v>
      </c>
      <c r="DR45" s="457">
        <f t="shared" si="73"/>
        <v>0</v>
      </c>
      <c r="DS45" s="457">
        <f t="shared" si="73"/>
        <v>0</v>
      </c>
      <c r="DT45" s="457">
        <f t="shared" si="73"/>
        <v>0</v>
      </c>
      <c r="DU45" s="457">
        <f t="shared" si="73"/>
        <v>0</v>
      </c>
      <c r="DV45" s="457">
        <f t="shared" si="73"/>
        <v>0</v>
      </c>
      <c r="DW45" s="457">
        <f>DW46+DW47</f>
        <v>0</v>
      </c>
      <c r="DX45" s="457">
        <f t="shared" si="73"/>
        <v>0</v>
      </c>
      <c r="DY45" s="457">
        <f t="shared" si="73"/>
        <v>0</v>
      </c>
      <c r="DZ45" s="457">
        <f t="shared" si="73"/>
        <v>0</v>
      </c>
      <c r="EA45" s="457">
        <f t="shared" si="73"/>
        <v>0</v>
      </c>
      <c r="EB45" s="457">
        <f t="shared" si="73"/>
        <v>0</v>
      </c>
      <c r="EC45" s="457">
        <f t="shared" si="73"/>
        <v>0</v>
      </c>
      <c r="ED45" s="457">
        <f t="shared" si="73"/>
        <v>0</v>
      </c>
      <c r="EE45" s="457">
        <f t="shared" si="73"/>
        <v>0</v>
      </c>
      <c r="EF45" s="457">
        <f t="shared" si="73"/>
        <v>0</v>
      </c>
      <c r="EG45" s="457">
        <f>EG46+EG47</f>
        <v>0</v>
      </c>
      <c r="EH45" s="457">
        <f>EH46+EH47</f>
        <v>0</v>
      </c>
      <c r="EI45" s="457">
        <f t="shared" si="73"/>
        <v>0</v>
      </c>
      <c r="EJ45" s="457">
        <f t="shared" si="73"/>
        <v>0</v>
      </c>
      <c r="EK45" s="457">
        <f t="shared" si="73"/>
        <v>2039331000</v>
      </c>
      <c r="EL45" s="457">
        <f>EL46+EL47</f>
        <v>0</v>
      </c>
      <c r="EM45" s="457">
        <f t="shared" si="73"/>
        <v>0</v>
      </c>
      <c r="EN45" s="457">
        <f t="shared" si="73"/>
        <v>0</v>
      </c>
      <c r="EO45" s="457">
        <f t="shared" si="73"/>
        <v>0</v>
      </c>
      <c r="EP45" s="457">
        <f t="shared" si="73"/>
        <v>0</v>
      </c>
      <c r="EQ45" s="457">
        <f t="shared" si="73"/>
        <v>0</v>
      </c>
      <c r="ER45" s="457">
        <f t="shared" si="73"/>
        <v>0</v>
      </c>
      <c r="ES45" s="457">
        <f t="shared" si="73"/>
        <v>0</v>
      </c>
      <c r="ET45" s="457">
        <f t="shared" si="73"/>
        <v>0</v>
      </c>
      <c r="EU45" s="457">
        <f t="shared" si="73"/>
        <v>0</v>
      </c>
      <c r="EV45" s="457">
        <f t="shared" si="73"/>
        <v>0</v>
      </c>
      <c r="EW45" s="457">
        <f t="shared" si="73"/>
        <v>0</v>
      </c>
      <c r="EX45" s="457">
        <f t="shared" si="73"/>
        <v>0</v>
      </c>
      <c r="EY45" s="457">
        <f>EY46+EY47</f>
        <v>0</v>
      </c>
      <c r="EZ45" s="457">
        <f t="shared" si="73"/>
        <v>0</v>
      </c>
      <c r="FA45" s="457">
        <f t="shared" si="73"/>
        <v>0</v>
      </c>
      <c r="FB45" s="457">
        <f t="shared" si="73"/>
        <v>0</v>
      </c>
      <c r="FC45" s="457">
        <f t="shared" si="73"/>
        <v>0</v>
      </c>
      <c r="FD45" s="457">
        <f>FD46+FD47</f>
        <v>0</v>
      </c>
      <c r="FE45" s="457">
        <f t="shared" si="73"/>
        <v>0</v>
      </c>
      <c r="FF45" s="457">
        <f t="shared" si="73"/>
        <v>0</v>
      </c>
      <c r="FG45" s="457">
        <f t="shared" si="73"/>
        <v>0</v>
      </c>
      <c r="FH45" s="457">
        <f t="shared" si="73"/>
        <v>0</v>
      </c>
      <c r="FI45" s="457">
        <f t="shared" si="73"/>
        <v>0</v>
      </c>
      <c r="FJ45" s="457">
        <f aca="true" t="shared" si="74" ref="FJ45:GF45">FJ46+FJ47</f>
        <v>0</v>
      </c>
      <c r="FK45" s="457">
        <f t="shared" si="74"/>
        <v>0</v>
      </c>
      <c r="FL45" s="457">
        <f t="shared" si="74"/>
        <v>0</v>
      </c>
      <c r="FM45" s="457">
        <f t="shared" si="74"/>
        <v>0</v>
      </c>
      <c r="FN45" s="457">
        <f t="shared" si="74"/>
        <v>0</v>
      </c>
      <c r="FO45" s="457">
        <f t="shared" si="74"/>
        <v>0</v>
      </c>
      <c r="FP45" s="457">
        <f t="shared" si="74"/>
        <v>0</v>
      </c>
      <c r="FQ45" s="457">
        <f>FQ46+FQ47</f>
        <v>0</v>
      </c>
      <c r="FR45" s="457">
        <f t="shared" si="74"/>
        <v>0</v>
      </c>
      <c r="FS45" s="457">
        <f t="shared" si="74"/>
        <v>0</v>
      </c>
      <c r="FT45" s="457">
        <f t="shared" si="74"/>
        <v>0</v>
      </c>
      <c r="FU45" s="457">
        <f t="shared" si="74"/>
        <v>0</v>
      </c>
      <c r="FV45" s="457">
        <f t="shared" si="74"/>
        <v>0</v>
      </c>
      <c r="FW45" s="457">
        <f t="shared" si="74"/>
        <v>0</v>
      </c>
      <c r="FX45" s="457">
        <f>FX46+FX47</f>
        <v>0</v>
      </c>
      <c r="FY45" s="457"/>
      <c r="FZ45" s="457">
        <f t="shared" si="74"/>
        <v>0</v>
      </c>
      <c r="GA45" s="457">
        <f t="shared" si="74"/>
        <v>0</v>
      </c>
      <c r="GB45" s="457">
        <f t="shared" si="74"/>
        <v>0</v>
      </c>
      <c r="GC45" s="457">
        <f t="shared" si="74"/>
        <v>0</v>
      </c>
      <c r="GD45" s="457">
        <f t="shared" si="74"/>
        <v>0</v>
      </c>
      <c r="GE45" s="457">
        <f t="shared" si="74"/>
        <v>0</v>
      </c>
      <c r="GF45" s="457">
        <f t="shared" si="74"/>
        <v>0</v>
      </c>
      <c r="GG45" s="457">
        <f>GG46+GG47</f>
        <v>0</v>
      </c>
      <c r="GH45" s="457">
        <f>GH46+GH47</f>
        <v>0</v>
      </c>
      <c r="GI45" s="453" t="s">
        <v>260</v>
      </c>
      <c r="GJ45" s="455">
        <f>CS45/C45</f>
        <v>1</v>
      </c>
      <c r="GK45" s="455"/>
      <c r="GL45" s="455">
        <f>CZ45/J45</f>
        <v>1</v>
      </c>
      <c r="GM45" s="455"/>
      <c r="GN45" s="455"/>
    </row>
    <row r="46" spans="1:196" s="456" customFormat="1" ht="15" customHeight="1" hidden="1">
      <c r="A46" s="452"/>
      <c r="B46" s="453" t="s">
        <v>250</v>
      </c>
      <c r="C46" s="457">
        <f>D46+J46+AY46+CD46</f>
        <v>0</v>
      </c>
      <c r="D46" s="457">
        <f>SUM(E46:I46)</f>
        <v>0</v>
      </c>
      <c r="E46" s="457"/>
      <c r="F46" s="457"/>
      <c r="G46" s="457"/>
      <c r="H46" s="457"/>
      <c r="I46" s="457"/>
      <c r="J46" s="457">
        <f>SUM(K46:AX46)</f>
        <v>0</v>
      </c>
      <c r="K46" s="457"/>
      <c r="L46" s="457"/>
      <c r="M46" s="457"/>
      <c r="N46" s="457"/>
      <c r="O46" s="457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  <c r="AB46" s="457"/>
      <c r="AC46" s="457"/>
      <c r="AD46" s="457"/>
      <c r="AE46" s="457"/>
      <c r="AF46" s="457"/>
      <c r="AG46" s="457"/>
      <c r="AH46" s="457"/>
      <c r="AI46" s="457"/>
      <c r="AJ46" s="457"/>
      <c r="AK46" s="457"/>
      <c r="AL46" s="457"/>
      <c r="AM46" s="457"/>
      <c r="AN46" s="457"/>
      <c r="AO46" s="457"/>
      <c r="AP46" s="457"/>
      <c r="AQ46" s="457"/>
      <c r="AR46" s="457"/>
      <c r="AS46" s="457"/>
      <c r="AT46" s="457"/>
      <c r="AU46" s="457"/>
      <c r="AV46" s="457"/>
      <c r="AW46" s="457"/>
      <c r="AX46" s="457"/>
      <c r="AY46" s="457">
        <f>SUM(AZ46:BA46)</f>
        <v>0</v>
      </c>
      <c r="AZ46" s="457">
        <f>SUM(BB46:BI46)+SUM(BQ46:BX46)</f>
        <v>0</v>
      </c>
      <c r="BA46" s="457">
        <f>SUM(BJ46:BP46)+SUM(BY46:CC46)</f>
        <v>0</v>
      </c>
      <c r="BB46" s="457"/>
      <c r="BC46" s="457"/>
      <c r="BD46" s="457"/>
      <c r="BE46" s="457"/>
      <c r="BF46" s="457"/>
      <c r="BG46" s="457"/>
      <c r="BH46" s="457"/>
      <c r="BI46" s="457"/>
      <c r="BJ46" s="457"/>
      <c r="BK46" s="457"/>
      <c r="BL46" s="457"/>
      <c r="BM46" s="457"/>
      <c r="BN46" s="457"/>
      <c r="BO46" s="457"/>
      <c r="BP46" s="457"/>
      <c r="BQ46" s="457"/>
      <c r="BR46" s="457"/>
      <c r="BS46" s="457"/>
      <c r="BT46" s="457"/>
      <c r="BU46" s="457"/>
      <c r="BV46" s="457"/>
      <c r="BW46" s="457"/>
      <c r="BX46" s="457"/>
      <c r="BY46" s="457"/>
      <c r="BZ46" s="457"/>
      <c r="CA46" s="457"/>
      <c r="CB46" s="457"/>
      <c r="CC46" s="457"/>
      <c r="CD46" s="457">
        <f>SUM(CE46:CF46)</f>
        <v>0</v>
      </c>
      <c r="CE46" s="457">
        <f>SUM(CG46:CI46)</f>
        <v>0</v>
      </c>
      <c r="CF46" s="457">
        <f>SUM(CJ46:CQ46)</f>
        <v>0</v>
      </c>
      <c r="CG46" s="457"/>
      <c r="CH46" s="457"/>
      <c r="CI46" s="457"/>
      <c r="CJ46" s="457"/>
      <c r="CK46" s="457"/>
      <c r="CL46" s="457"/>
      <c r="CM46" s="457"/>
      <c r="CN46" s="457"/>
      <c r="CO46" s="457"/>
      <c r="CP46" s="457"/>
      <c r="CQ46" s="457"/>
      <c r="CR46" s="453" t="s">
        <v>250</v>
      </c>
      <c r="CS46" s="457">
        <f>CT46+CZ46+EO46+FT46+GH46</f>
        <v>0</v>
      </c>
      <c r="CT46" s="457">
        <f>SUM(CU46:CY46)</f>
        <v>0</v>
      </c>
      <c r="CU46" s="457"/>
      <c r="CV46" s="457"/>
      <c r="CW46" s="457"/>
      <c r="CX46" s="457"/>
      <c r="CY46" s="457"/>
      <c r="CZ46" s="457">
        <f>SUM(DA46:EN46)</f>
        <v>0</v>
      </c>
      <c r="DA46" s="457"/>
      <c r="DB46" s="457"/>
      <c r="DC46" s="457"/>
      <c r="DD46" s="457"/>
      <c r="DE46" s="457"/>
      <c r="DF46" s="457"/>
      <c r="DG46" s="457"/>
      <c r="DH46" s="457"/>
      <c r="DI46" s="457"/>
      <c r="DJ46" s="457"/>
      <c r="DK46" s="457"/>
      <c r="DL46" s="457"/>
      <c r="DM46" s="457"/>
      <c r="DN46" s="457"/>
      <c r="DO46" s="457"/>
      <c r="DP46" s="457"/>
      <c r="DQ46" s="457"/>
      <c r="DR46" s="457"/>
      <c r="DS46" s="457"/>
      <c r="DT46" s="457"/>
      <c r="DU46" s="457"/>
      <c r="DV46" s="457"/>
      <c r="DW46" s="457"/>
      <c r="DX46" s="457"/>
      <c r="DY46" s="457"/>
      <c r="DZ46" s="457"/>
      <c r="EA46" s="457"/>
      <c r="EB46" s="457"/>
      <c r="EC46" s="457"/>
      <c r="ED46" s="457"/>
      <c r="EE46" s="457"/>
      <c r="EF46" s="457"/>
      <c r="EG46" s="457"/>
      <c r="EH46" s="457"/>
      <c r="EI46" s="457"/>
      <c r="EJ46" s="457"/>
      <c r="EK46" s="457"/>
      <c r="EL46" s="457"/>
      <c r="EM46" s="457"/>
      <c r="EN46" s="457"/>
      <c r="EO46" s="457">
        <f>SUM(EP46:EQ46)</f>
        <v>0</v>
      </c>
      <c r="EP46" s="457">
        <f>SUM(ER46:EY46)+SUM(FG46:FN46)</f>
        <v>0</v>
      </c>
      <c r="EQ46" s="457">
        <f>SUM(EZ46:FF46)+SUM(FO46:FS46)</f>
        <v>0</v>
      </c>
      <c r="ER46" s="457"/>
      <c r="ES46" s="457"/>
      <c r="ET46" s="457"/>
      <c r="EU46" s="457"/>
      <c r="EV46" s="457"/>
      <c r="EW46" s="457"/>
      <c r="EX46" s="457"/>
      <c r="EY46" s="457"/>
      <c r="EZ46" s="457"/>
      <c r="FA46" s="457"/>
      <c r="FB46" s="457"/>
      <c r="FC46" s="457"/>
      <c r="FD46" s="457"/>
      <c r="FE46" s="457"/>
      <c r="FF46" s="457"/>
      <c r="FG46" s="457"/>
      <c r="FH46" s="457"/>
      <c r="FI46" s="457"/>
      <c r="FJ46" s="457"/>
      <c r="FK46" s="457"/>
      <c r="FL46" s="457"/>
      <c r="FM46" s="457"/>
      <c r="FN46" s="457"/>
      <c r="FO46" s="457"/>
      <c r="FP46" s="457"/>
      <c r="FQ46" s="457"/>
      <c r="FR46" s="457"/>
      <c r="FS46" s="457"/>
      <c r="FT46" s="457">
        <f>SUM(FU46:FV46)</f>
        <v>0</v>
      </c>
      <c r="FU46" s="457">
        <f>SUM(FW46:FY46)</f>
        <v>0</v>
      </c>
      <c r="FV46" s="457">
        <f>SUM(FZ46:GG46)</f>
        <v>0</v>
      </c>
      <c r="FW46" s="457"/>
      <c r="FX46" s="457"/>
      <c r="FY46" s="457"/>
      <c r="FZ46" s="457"/>
      <c r="GA46" s="457"/>
      <c r="GB46" s="457"/>
      <c r="GC46" s="457"/>
      <c r="GD46" s="457"/>
      <c r="GE46" s="457"/>
      <c r="GF46" s="457"/>
      <c r="GG46" s="457"/>
      <c r="GH46" s="457"/>
      <c r="GI46" s="453" t="s">
        <v>250</v>
      </c>
      <c r="GJ46" s="455"/>
      <c r="GK46" s="455"/>
      <c r="GL46" s="455"/>
      <c r="GM46" s="455"/>
      <c r="GN46" s="455"/>
    </row>
    <row r="47" spans="1:196" s="456" customFormat="1" ht="15" customHeight="1" hidden="1">
      <c r="A47" s="452"/>
      <c r="B47" s="453" t="s">
        <v>251</v>
      </c>
      <c r="C47" s="457">
        <f>D47+J47+AY47+CD47</f>
        <v>2041284000</v>
      </c>
      <c r="D47" s="457">
        <f>SUM(E47:I47)</f>
        <v>0</v>
      </c>
      <c r="E47" s="457"/>
      <c r="F47" s="457"/>
      <c r="G47" s="457"/>
      <c r="H47" s="457"/>
      <c r="I47" s="457"/>
      <c r="J47" s="457">
        <f>SUM(K47:AX47)</f>
        <v>2041284000</v>
      </c>
      <c r="K47" s="457"/>
      <c r="L47" s="457"/>
      <c r="M47" s="457"/>
      <c r="N47" s="457"/>
      <c r="O47" s="457"/>
      <c r="P47" s="457"/>
      <c r="Q47" s="457"/>
      <c r="R47" s="457"/>
      <c r="S47" s="457"/>
      <c r="T47" s="457">
        <v>1953000</v>
      </c>
      <c r="U47" s="457"/>
      <c r="V47" s="457"/>
      <c r="W47" s="457"/>
      <c r="X47" s="457"/>
      <c r="Y47" s="457"/>
      <c r="Z47" s="457"/>
      <c r="AA47" s="457"/>
      <c r="AB47" s="457"/>
      <c r="AC47" s="457"/>
      <c r="AD47" s="457"/>
      <c r="AE47" s="457"/>
      <c r="AF47" s="457"/>
      <c r="AG47" s="457"/>
      <c r="AH47" s="457"/>
      <c r="AI47" s="457"/>
      <c r="AJ47" s="457"/>
      <c r="AK47" s="457"/>
      <c r="AL47" s="457"/>
      <c r="AM47" s="457"/>
      <c r="AN47" s="457"/>
      <c r="AO47" s="457"/>
      <c r="AP47" s="457"/>
      <c r="AQ47" s="457"/>
      <c r="AR47" s="457"/>
      <c r="AS47" s="457"/>
      <c r="AT47" s="457"/>
      <c r="AU47" s="457">
        <v>2039331000</v>
      </c>
      <c r="AV47" s="457"/>
      <c r="AW47" s="457"/>
      <c r="AX47" s="457"/>
      <c r="AY47" s="457">
        <f>SUM(AZ47:BA47)</f>
        <v>0</v>
      </c>
      <c r="AZ47" s="457">
        <f>SUM(BB47:BI47)+SUM(BQ47:BX47)</f>
        <v>0</v>
      </c>
      <c r="BA47" s="457">
        <f>SUM(BJ47:BP47)+SUM(BY47:CC47)</f>
        <v>0</v>
      </c>
      <c r="BB47" s="457"/>
      <c r="BC47" s="457"/>
      <c r="BD47" s="457"/>
      <c r="BE47" s="457"/>
      <c r="BF47" s="457"/>
      <c r="BG47" s="457"/>
      <c r="BH47" s="457"/>
      <c r="BI47" s="457"/>
      <c r="BJ47" s="457"/>
      <c r="BK47" s="457"/>
      <c r="BL47" s="457"/>
      <c r="BM47" s="457"/>
      <c r="BN47" s="457"/>
      <c r="BO47" s="457"/>
      <c r="BP47" s="457"/>
      <c r="BQ47" s="457"/>
      <c r="BR47" s="457"/>
      <c r="BS47" s="457"/>
      <c r="BT47" s="457"/>
      <c r="BU47" s="457"/>
      <c r="BV47" s="457"/>
      <c r="BW47" s="457"/>
      <c r="BX47" s="457"/>
      <c r="BY47" s="457"/>
      <c r="BZ47" s="457"/>
      <c r="CA47" s="457"/>
      <c r="CB47" s="457"/>
      <c r="CC47" s="457"/>
      <c r="CD47" s="457">
        <f>SUM(CE47:CF47)</f>
        <v>0</v>
      </c>
      <c r="CE47" s="457">
        <f>SUM(CG47:CI47)</f>
        <v>0</v>
      </c>
      <c r="CF47" s="457">
        <f>SUM(CJ47:CQ47)</f>
        <v>0</v>
      </c>
      <c r="CG47" s="457"/>
      <c r="CH47" s="457"/>
      <c r="CI47" s="457"/>
      <c r="CJ47" s="457"/>
      <c r="CK47" s="457"/>
      <c r="CL47" s="457"/>
      <c r="CM47" s="457"/>
      <c r="CN47" s="457"/>
      <c r="CO47" s="457"/>
      <c r="CP47" s="457"/>
      <c r="CQ47" s="457"/>
      <c r="CR47" s="453" t="s">
        <v>251</v>
      </c>
      <c r="CS47" s="457">
        <f>CT47+CZ47+EO47+FT47+GH47</f>
        <v>2041284000</v>
      </c>
      <c r="CT47" s="457">
        <f>SUM(CU47:CY47)</f>
        <v>0</v>
      </c>
      <c r="CU47" s="457"/>
      <c r="CV47" s="457"/>
      <c r="CW47" s="457"/>
      <c r="CX47" s="457"/>
      <c r="CY47" s="457"/>
      <c r="CZ47" s="457">
        <f>SUM(DA47:EN47)</f>
        <v>2041284000</v>
      </c>
      <c r="DA47" s="457"/>
      <c r="DB47" s="457"/>
      <c r="DC47" s="457"/>
      <c r="DD47" s="457"/>
      <c r="DE47" s="457"/>
      <c r="DF47" s="457"/>
      <c r="DG47" s="457"/>
      <c r="DH47" s="457"/>
      <c r="DI47" s="457"/>
      <c r="DJ47" s="457">
        <v>1953000</v>
      </c>
      <c r="DK47" s="457"/>
      <c r="DL47" s="457"/>
      <c r="DM47" s="457"/>
      <c r="DN47" s="457"/>
      <c r="DO47" s="457"/>
      <c r="DP47" s="457"/>
      <c r="DQ47" s="457"/>
      <c r="DR47" s="457"/>
      <c r="DS47" s="457"/>
      <c r="DT47" s="457"/>
      <c r="DU47" s="457"/>
      <c r="DV47" s="457"/>
      <c r="DW47" s="457"/>
      <c r="DX47" s="457"/>
      <c r="DY47" s="457"/>
      <c r="DZ47" s="457"/>
      <c r="EA47" s="457"/>
      <c r="EB47" s="457"/>
      <c r="EC47" s="457"/>
      <c r="ED47" s="457"/>
      <c r="EE47" s="457"/>
      <c r="EF47" s="457"/>
      <c r="EG47" s="457"/>
      <c r="EH47" s="457"/>
      <c r="EI47" s="457"/>
      <c r="EJ47" s="457"/>
      <c r="EK47" s="457">
        <v>2039331000</v>
      </c>
      <c r="EL47" s="457"/>
      <c r="EM47" s="457"/>
      <c r="EN47" s="457"/>
      <c r="EO47" s="457">
        <f>SUM(EP47:EQ47)</f>
        <v>0</v>
      </c>
      <c r="EP47" s="457">
        <f>SUM(ER47:EY47)+SUM(FG47:FN47)</f>
        <v>0</v>
      </c>
      <c r="EQ47" s="457">
        <f>SUM(EZ47:FF47)+SUM(FO47:FS47)</f>
        <v>0</v>
      </c>
      <c r="ER47" s="457"/>
      <c r="ES47" s="457"/>
      <c r="ET47" s="457"/>
      <c r="EU47" s="457"/>
      <c r="EV47" s="457"/>
      <c r="EW47" s="457"/>
      <c r="EX47" s="457"/>
      <c r="EY47" s="457"/>
      <c r="EZ47" s="457"/>
      <c r="FA47" s="457"/>
      <c r="FB47" s="457"/>
      <c r="FC47" s="457"/>
      <c r="FD47" s="457"/>
      <c r="FE47" s="457"/>
      <c r="FF47" s="457"/>
      <c r="FG47" s="457"/>
      <c r="FH47" s="457"/>
      <c r="FI47" s="457"/>
      <c r="FJ47" s="457"/>
      <c r="FK47" s="457"/>
      <c r="FL47" s="457"/>
      <c r="FM47" s="457"/>
      <c r="FN47" s="457"/>
      <c r="FO47" s="457"/>
      <c r="FP47" s="457"/>
      <c r="FQ47" s="457"/>
      <c r="FR47" s="457"/>
      <c r="FS47" s="457"/>
      <c r="FT47" s="457">
        <f>SUM(FU47:FV47)</f>
        <v>0</v>
      </c>
      <c r="FU47" s="457">
        <f>SUM(FW47:FY47)</f>
        <v>0</v>
      </c>
      <c r="FV47" s="457">
        <f>SUM(FZ47:GG47)</f>
        <v>0</v>
      </c>
      <c r="FW47" s="457"/>
      <c r="FX47" s="457"/>
      <c r="FY47" s="457"/>
      <c r="FZ47" s="457"/>
      <c r="GA47" s="457"/>
      <c r="GB47" s="457"/>
      <c r="GC47" s="457"/>
      <c r="GD47" s="457"/>
      <c r="GE47" s="457"/>
      <c r="GF47" s="457"/>
      <c r="GG47" s="457"/>
      <c r="GH47" s="457"/>
      <c r="GI47" s="453" t="s">
        <v>251</v>
      </c>
      <c r="GJ47" s="455">
        <f>CS47/C47</f>
        <v>1</v>
      </c>
      <c r="GK47" s="455"/>
      <c r="GL47" s="455">
        <f>CZ47/J47</f>
        <v>1</v>
      </c>
      <c r="GM47" s="455"/>
      <c r="GN47" s="455"/>
    </row>
    <row r="48" spans="1:196" s="456" customFormat="1" ht="15" customHeight="1">
      <c r="A48" s="452">
        <v>12</v>
      </c>
      <c r="B48" s="453" t="s">
        <v>261</v>
      </c>
      <c r="C48" s="457">
        <f aca="true" t="shared" si="75" ref="C48:H48">C49+C50</f>
        <v>19774021837</v>
      </c>
      <c r="D48" s="457">
        <f t="shared" si="75"/>
        <v>0</v>
      </c>
      <c r="E48" s="457">
        <f t="shared" si="75"/>
        <v>0</v>
      </c>
      <c r="F48" s="457">
        <f t="shared" si="75"/>
        <v>0</v>
      </c>
      <c r="G48" s="457">
        <f t="shared" si="75"/>
        <v>0</v>
      </c>
      <c r="H48" s="457">
        <f t="shared" si="75"/>
        <v>0</v>
      </c>
      <c r="I48" s="457">
        <f aca="true" t="shared" si="76" ref="I48:BY48">I49+I50</f>
        <v>0</v>
      </c>
      <c r="J48" s="457">
        <f>J49+J50</f>
        <v>18556717237</v>
      </c>
      <c r="K48" s="457">
        <f t="shared" si="76"/>
        <v>0</v>
      </c>
      <c r="L48" s="457">
        <f>L49+L50</f>
        <v>0</v>
      </c>
      <c r="M48" s="457">
        <f t="shared" si="76"/>
        <v>0</v>
      </c>
      <c r="N48" s="457">
        <f t="shared" si="76"/>
        <v>0</v>
      </c>
      <c r="O48" s="457">
        <f t="shared" si="76"/>
        <v>0</v>
      </c>
      <c r="P48" s="457">
        <f t="shared" si="76"/>
        <v>0</v>
      </c>
      <c r="Q48" s="457">
        <f t="shared" si="76"/>
        <v>0</v>
      </c>
      <c r="R48" s="457">
        <f t="shared" si="76"/>
        <v>321821600</v>
      </c>
      <c r="S48" s="457">
        <f>S49+S50</f>
        <v>0</v>
      </c>
      <c r="T48" s="457">
        <f t="shared" si="76"/>
        <v>11023500</v>
      </c>
      <c r="U48" s="457">
        <f t="shared" si="76"/>
        <v>0</v>
      </c>
      <c r="V48" s="457">
        <f>V49+V50</f>
        <v>100000000</v>
      </c>
      <c r="W48" s="457">
        <f>W49+W50</f>
        <v>1209881240</v>
      </c>
      <c r="X48" s="457">
        <f t="shared" si="76"/>
        <v>0</v>
      </c>
      <c r="Y48" s="457">
        <f t="shared" si="76"/>
        <v>0</v>
      </c>
      <c r="Z48" s="457">
        <f t="shared" si="76"/>
        <v>0</v>
      </c>
      <c r="AA48" s="457">
        <f t="shared" si="76"/>
        <v>0</v>
      </c>
      <c r="AB48" s="457">
        <f t="shared" si="76"/>
        <v>0</v>
      </c>
      <c r="AC48" s="457">
        <f t="shared" si="76"/>
        <v>0</v>
      </c>
      <c r="AD48" s="457">
        <f t="shared" si="76"/>
        <v>13295000000</v>
      </c>
      <c r="AE48" s="457">
        <f t="shared" si="76"/>
        <v>2697990897</v>
      </c>
      <c r="AF48" s="457">
        <f t="shared" si="76"/>
        <v>0</v>
      </c>
      <c r="AG48" s="457">
        <f>AG49+AG50</f>
        <v>0</v>
      </c>
      <c r="AH48" s="457">
        <f t="shared" si="76"/>
        <v>0</v>
      </c>
      <c r="AI48" s="457">
        <f t="shared" si="76"/>
        <v>0</v>
      </c>
      <c r="AJ48" s="457">
        <f t="shared" si="76"/>
        <v>0</v>
      </c>
      <c r="AK48" s="457">
        <f t="shared" si="76"/>
        <v>0</v>
      </c>
      <c r="AL48" s="457">
        <f t="shared" si="76"/>
        <v>0</v>
      </c>
      <c r="AM48" s="457">
        <f t="shared" si="76"/>
        <v>0</v>
      </c>
      <c r="AN48" s="457">
        <f t="shared" si="76"/>
        <v>0</v>
      </c>
      <c r="AO48" s="457">
        <f t="shared" si="76"/>
        <v>0</v>
      </c>
      <c r="AP48" s="457">
        <f t="shared" si="76"/>
        <v>0</v>
      </c>
      <c r="AQ48" s="457">
        <f>AQ49+AQ50</f>
        <v>0</v>
      </c>
      <c r="AR48" s="457">
        <f>AR49+AR50</f>
        <v>0</v>
      </c>
      <c r="AS48" s="457">
        <f t="shared" si="76"/>
        <v>0</v>
      </c>
      <c r="AT48" s="457">
        <f t="shared" si="76"/>
        <v>0</v>
      </c>
      <c r="AU48" s="457">
        <f t="shared" si="76"/>
        <v>921000000</v>
      </c>
      <c r="AV48" s="457">
        <f>AV49+AV50</f>
        <v>0</v>
      </c>
      <c r="AW48" s="457">
        <f t="shared" si="76"/>
        <v>0</v>
      </c>
      <c r="AX48" s="457">
        <f t="shared" si="76"/>
        <v>0</v>
      </c>
      <c r="AY48" s="457">
        <f>AY49+AY50</f>
        <v>1117304600</v>
      </c>
      <c r="AZ48" s="457">
        <f>AZ49+AZ50</f>
        <v>0</v>
      </c>
      <c r="BA48" s="457">
        <f>BA49+BA50</f>
        <v>1117304600</v>
      </c>
      <c r="BB48" s="457">
        <f t="shared" si="76"/>
        <v>0</v>
      </c>
      <c r="BC48" s="457">
        <f t="shared" si="76"/>
        <v>0</v>
      </c>
      <c r="BD48" s="457">
        <f t="shared" si="76"/>
        <v>0</v>
      </c>
      <c r="BE48" s="457">
        <f t="shared" si="76"/>
        <v>0</v>
      </c>
      <c r="BF48" s="457">
        <f t="shared" si="76"/>
        <v>0</v>
      </c>
      <c r="BG48" s="457">
        <f t="shared" si="76"/>
        <v>0</v>
      </c>
      <c r="BH48" s="457">
        <f t="shared" si="76"/>
        <v>0</v>
      </c>
      <c r="BI48" s="457">
        <f>BI49+BI50</f>
        <v>0</v>
      </c>
      <c r="BJ48" s="457">
        <f t="shared" si="76"/>
        <v>0</v>
      </c>
      <c r="BK48" s="457">
        <f t="shared" si="76"/>
        <v>0</v>
      </c>
      <c r="BL48" s="457">
        <f t="shared" si="76"/>
        <v>0</v>
      </c>
      <c r="BM48" s="457">
        <f t="shared" si="76"/>
        <v>0</v>
      </c>
      <c r="BN48" s="457">
        <f>BN49+BN50</f>
        <v>0</v>
      </c>
      <c r="BO48" s="457">
        <f t="shared" si="76"/>
        <v>0</v>
      </c>
      <c r="BP48" s="457">
        <f t="shared" si="76"/>
        <v>95000000</v>
      </c>
      <c r="BQ48" s="457">
        <f t="shared" si="76"/>
        <v>0</v>
      </c>
      <c r="BR48" s="457">
        <f t="shared" si="76"/>
        <v>0</v>
      </c>
      <c r="BS48" s="457">
        <f t="shared" si="76"/>
        <v>0</v>
      </c>
      <c r="BT48" s="457">
        <f t="shared" si="76"/>
        <v>0</v>
      </c>
      <c r="BU48" s="457">
        <f t="shared" si="76"/>
        <v>0</v>
      </c>
      <c r="BV48" s="457">
        <f t="shared" si="76"/>
        <v>0</v>
      </c>
      <c r="BW48" s="457">
        <f t="shared" si="76"/>
        <v>0</v>
      </c>
      <c r="BX48" s="457">
        <f t="shared" si="76"/>
        <v>0</v>
      </c>
      <c r="BY48" s="457">
        <f t="shared" si="76"/>
        <v>0</v>
      </c>
      <c r="BZ48" s="457">
        <f aca="true" t="shared" si="77" ref="BZ48:CP48">BZ49+BZ50</f>
        <v>0</v>
      </c>
      <c r="CA48" s="457">
        <f>CA49+CA50</f>
        <v>0</v>
      </c>
      <c r="CB48" s="457">
        <f t="shared" si="77"/>
        <v>0</v>
      </c>
      <c r="CC48" s="457">
        <f t="shared" si="77"/>
        <v>1022304600</v>
      </c>
      <c r="CD48" s="457">
        <f t="shared" si="77"/>
        <v>100000000</v>
      </c>
      <c r="CE48" s="457">
        <f>CE49+CE50</f>
        <v>0</v>
      </c>
      <c r="CF48" s="457">
        <f>CF49+CF50</f>
        <v>100000000</v>
      </c>
      <c r="CG48" s="457">
        <f t="shared" si="77"/>
        <v>0</v>
      </c>
      <c r="CH48" s="457">
        <f>CH49+CH50</f>
        <v>0</v>
      </c>
      <c r="CI48" s="457">
        <f>CI49+CI50</f>
        <v>0</v>
      </c>
      <c r="CJ48" s="457">
        <f t="shared" si="77"/>
        <v>0</v>
      </c>
      <c r="CK48" s="457">
        <f t="shared" si="77"/>
        <v>0</v>
      </c>
      <c r="CL48" s="457">
        <f t="shared" si="77"/>
        <v>15000000</v>
      </c>
      <c r="CM48" s="457">
        <f t="shared" si="77"/>
        <v>50000000</v>
      </c>
      <c r="CN48" s="457">
        <f t="shared" si="77"/>
        <v>0</v>
      </c>
      <c r="CO48" s="457">
        <f t="shared" si="77"/>
        <v>0</v>
      </c>
      <c r="CP48" s="457">
        <f t="shared" si="77"/>
        <v>35000000</v>
      </c>
      <c r="CQ48" s="457">
        <f>CQ49+CQ50</f>
        <v>0</v>
      </c>
      <c r="CR48" s="453" t="s">
        <v>261</v>
      </c>
      <c r="CS48" s="457">
        <f aca="true" t="shared" si="78" ref="CS48:FI48">CS49+CS50</f>
        <v>19689562801</v>
      </c>
      <c r="CT48" s="457">
        <f t="shared" si="78"/>
        <v>0</v>
      </c>
      <c r="CU48" s="457">
        <f t="shared" si="78"/>
        <v>0</v>
      </c>
      <c r="CV48" s="457">
        <f>CV49+CV50</f>
        <v>0</v>
      </c>
      <c r="CW48" s="457">
        <f>CW49+CW50</f>
        <v>0</v>
      </c>
      <c r="CX48" s="457">
        <f>CX49+CX50</f>
        <v>0</v>
      </c>
      <c r="CY48" s="457">
        <f t="shared" si="78"/>
        <v>0</v>
      </c>
      <c r="CZ48" s="457">
        <f t="shared" si="78"/>
        <v>18377463201</v>
      </c>
      <c r="DA48" s="457">
        <f t="shared" si="78"/>
        <v>0</v>
      </c>
      <c r="DB48" s="457">
        <f>DB49+DB50</f>
        <v>0</v>
      </c>
      <c r="DC48" s="457">
        <f t="shared" si="78"/>
        <v>0</v>
      </c>
      <c r="DD48" s="457">
        <f t="shared" si="78"/>
        <v>0</v>
      </c>
      <c r="DE48" s="457">
        <f t="shared" si="78"/>
        <v>0</v>
      </c>
      <c r="DF48" s="457">
        <f t="shared" si="78"/>
        <v>0</v>
      </c>
      <c r="DG48" s="457">
        <f t="shared" si="78"/>
        <v>0</v>
      </c>
      <c r="DH48" s="457">
        <f t="shared" si="78"/>
        <v>321821600</v>
      </c>
      <c r="DI48" s="457">
        <f>DI49+DI50</f>
        <v>0</v>
      </c>
      <c r="DJ48" s="457">
        <f t="shared" si="78"/>
        <v>11023500</v>
      </c>
      <c r="DK48" s="457">
        <f t="shared" si="78"/>
        <v>0</v>
      </c>
      <c r="DL48" s="457">
        <f>DL49+DL50</f>
        <v>100000000</v>
      </c>
      <c r="DM48" s="457">
        <f>DM49+DM50</f>
        <v>1209881240</v>
      </c>
      <c r="DN48" s="457">
        <f t="shared" si="78"/>
        <v>0</v>
      </c>
      <c r="DO48" s="457">
        <f t="shared" si="78"/>
        <v>0</v>
      </c>
      <c r="DP48" s="457">
        <f t="shared" si="78"/>
        <v>0</v>
      </c>
      <c r="DQ48" s="457">
        <f t="shared" si="78"/>
        <v>0</v>
      </c>
      <c r="DR48" s="457">
        <f t="shared" si="78"/>
        <v>0</v>
      </c>
      <c r="DS48" s="457">
        <f t="shared" si="78"/>
        <v>0</v>
      </c>
      <c r="DT48" s="457">
        <f t="shared" si="78"/>
        <v>13295000000</v>
      </c>
      <c r="DU48" s="457">
        <f t="shared" si="78"/>
        <v>2518786861</v>
      </c>
      <c r="DV48" s="457">
        <f t="shared" si="78"/>
        <v>0</v>
      </c>
      <c r="DW48" s="457">
        <f>DW49+DW50</f>
        <v>0</v>
      </c>
      <c r="DX48" s="457">
        <f t="shared" si="78"/>
        <v>0</v>
      </c>
      <c r="DY48" s="457">
        <f t="shared" si="78"/>
        <v>0</v>
      </c>
      <c r="DZ48" s="457">
        <f t="shared" si="78"/>
        <v>0</v>
      </c>
      <c r="EA48" s="457">
        <f t="shared" si="78"/>
        <v>0</v>
      </c>
      <c r="EB48" s="457">
        <f t="shared" si="78"/>
        <v>0</v>
      </c>
      <c r="EC48" s="457">
        <f t="shared" si="78"/>
        <v>0</v>
      </c>
      <c r="ED48" s="457">
        <f t="shared" si="78"/>
        <v>0</v>
      </c>
      <c r="EE48" s="457">
        <f t="shared" si="78"/>
        <v>0</v>
      </c>
      <c r="EF48" s="457">
        <f t="shared" si="78"/>
        <v>0</v>
      </c>
      <c r="EG48" s="457">
        <f>EG49+EG50</f>
        <v>0</v>
      </c>
      <c r="EH48" s="457">
        <f>EH49+EH50</f>
        <v>0</v>
      </c>
      <c r="EI48" s="457">
        <f t="shared" si="78"/>
        <v>0</v>
      </c>
      <c r="EJ48" s="457">
        <f t="shared" si="78"/>
        <v>0</v>
      </c>
      <c r="EK48" s="457">
        <f t="shared" si="78"/>
        <v>920950000</v>
      </c>
      <c r="EL48" s="457">
        <f>EL49+EL50</f>
        <v>0</v>
      </c>
      <c r="EM48" s="457">
        <f t="shared" si="78"/>
        <v>0</v>
      </c>
      <c r="EN48" s="457">
        <f t="shared" si="78"/>
        <v>0</v>
      </c>
      <c r="EO48" s="457">
        <f t="shared" si="78"/>
        <v>1117304600</v>
      </c>
      <c r="EP48" s="457">
        <f t="shared" si="78"/>
        <v>0</v>
      </c>
      <c r="EQ48" s="457">
        <f t="shared" si="78"/>
        <v>1117304600</v>
      </c>
      <c r="ER48" s="457">
        <f t="shared" si="78"/>
        <v>0</v>
      </c>
      <c r="ES48" s="457">
        <f t="shared" si="78"/>
        <v>0</v>
      </c>
      <c r="ET48" s="457">
        <f t="shared" si="78"/>
        <v>0</v>
      </c>
      <c r="EU48" s="457">
        <f t="shared" si="78"/>
        <v>0</v>
      </c>
      <c r="EV48" s="457">
        <f t="shared" si="78"/>
        <v>0</v>
      </c>
      <c r="EW48" s="457">
        <f t="shared" si="78"/>
        <v>0</v>
      </c>
      <c r="EX48" s="457">
        <f t="shared" si="78"/>
        <v>0</v>
      </c>
      <c r="EY48" s="457">
        <f>EY49+EY50</f>
        <v>0</v>
      </c>
      <c r="EZ48" s="457">
        <f t="shared" si="78"/>
        <v>0</v>
      </c>
      <c r="FA48" s="457">
        <f t="shared" si="78"/>
        <v>0</v>
      </c>
      <c r="FB48" s="457">
        <f t="shared" si="78"/>
        <v>0</v>
      </c>
      <c r="FC48" s="457">
        <f t="shared" si="78"/>
        <v>0</v>
      </c>
      <c r="FD48" s="457">
        <f>FD49+FD50</f>
        <v>0</v>
      </c>
      <c r="FE48" s="457">
        <f t="shared" si="78"/>
        <v>0</v>
      </c>
      <c r="FF48" s="457">
        <f t="shared" si="78"/>
        <v>95000000</v>
      </c>
      <c r="FG48" s="457">
        <f t="shared" si="78"/>
        <v>0</v>
      </c>
      <c r="FH48" s="457">
        <f t="shared" si="78"/>
        <v>0</v>
      </c>
      <c r="FI48" s="457">
        <f t="shared" si="78"/>
        <v>0</v>
      </c>
      <c r="FJ48" s="457">
        <f aca="true" t="shared" si="79" ref="FJ48:GF48">FJ49+FJ50</f>
        <v>0</v>
      </c>
      <c r="FK48" s="457">
        <f t="shared" si="79"/>
        <v>0</v>
      </c>
      <c r="FL48" s="457">
        <f t="shared" si="79"/>
        <v>0</v>
      </c>
      <c r="FM48" s="457">
        <f t="shared" si="79"/>
        <v>0</v>
      </c>
      <c r="FN48" s="457">
        <f t="shared" si="79"/>
        <v>0</v>
      </c>
      <c r="FO48" s="457">
        <f t="shared" si="79"/>
        <v>0</v>
      </c>
      <c r="FP48" s="457">
        <f t="shared" si="79"/>
        <v>0</v>
      </c>
      <c r="FQ48" s="457">
        <f>FQ49+FQ50</f>
        <v>0</v>
      </c>
      <c r="FR48" s="457">
        <f t="shared" si="79"/>
        <v>0</v>
      </c>
      <c r="FS48" s="457">
        <f t="shared" si="79"/>
        <v>1022304600</v>
      </c>
      <c r="FT48" s="457">
        <f t="shared" si="79"/>
        <v>100000000</v>
      </c>
      <c r="FU48" s="457">
        <f t="shared" si="79"/>
        <v>0</v>
      </c>
      <c r="FV48" s="457">
        <f t="shared" si="79"/>
        <v>100000000</v>
      </c>
      <c r="FW48" s="457">
        <f t="shared" si="79"/>
        <v>0</v>
      </c>
      <c r="FX48" s="457">
        <f>FX49+FX50</f>
        <v>0</v>
      </c>
      <c r="FY48" s="457"/>
      <c r="FZ48" s="457">
        <f t="shared" si="79"/>
        <v>0</v>
      </c>
      <c r="GA48" s="457">
        <f t="shared" si="79"/>
        <v>0</v>
      </c>
      <c r="GB48" s="457">
        <f t="shared" si="79"/>
        <v>15000000</v>
      </c>
      <c r="GC48" s="457">
        <f t="shared" si="79"/>
        <v>50000000</v>
      </c>
      <c r="GD48" s="457">
        <f t="shared" si="79"/>
        <v>0</v>
      </c>
      <c r="GE48" s="457">
        <f t="shared" si="79"/>
        <v>0</v>
      </c>
      <c r="GF48" s="457">
        <f t="shared" si="79"/>
        <v>35000000</v>
      </c>
      <c r="GG48" s="457">
        <f>GG49+GG50</f>
        <v>0</v>
      </c>
      <c r="GH48" s="457">
        <f>GH49+GH50</f>
        <v>94795000</v>
      </c>
      <c r="GI48" s="453" t="s">
        <v>261</v>
      </c>
      <c r="GJ48" s="455">
        <f>CS48/C48</f>
        <v>0.9957287881698419</v>
      </c>
      <c r="GK48" s="455"/>
      <c r="GL48" s="455">
        <f>CZ48/J48</f>
        <v>0.9903402076072708</v>
      </c>
      <c r="GM48" s="455">
        <f>EO48/AY48</f>
        <v>1</v>
      </c>
      <c r="GN48" s="455">
        <f>FT48/CD48</f>
        <v>1</v>
      </c>
    </row>
    <row r="49" spans="1:196" s="456" customFormat="1" ht="15" customHeight="1" hidden="1">
      <c r="A49" s="452"/>
      <c r="B49" s="453" t="s">
        <v>250</v>
      </c>
      <c r="C49" s="457">
        <f>D49+J49+AY49+CD49</f>
        <v>0</v>
      </c>
      <c r="D49" s="457">
        <f>SUM(E49:I49)</f>
        <v>0</v>
      </c>
      <c r="E49" s="457"/>
      <c r="F49" s="457"/>
      <c r="G49" s="457"/>
      <c r="H49" s="457"/>
      <c r="I49" s="457"/>
      <c r="J49" s="457">
        <f>SUM(K49:AX49)</f>
        <v>0</v>
      </c>
      <c r="K49" s="457"/>
      <c r="L49" s="457"/>
      <c r="M49" s="457"/>
      <c r="N49" s="457"/>
      <c r="O49" s="457"/>
      <c r="P49" s="457"/>
      <c r="Q49" s="457"/>
      <c r="R49" s="457"/>
      <c r="S49" s="457"/>
      <c r="T49" s="457"/>
      <c r="U49" s="457"/>
      <c r="V49" s="457"/>
      <c r="W49" s="457"/>
      <c r="X49" s="457"/>
      <c r="Y49" s="457"/>
      <c r="Z49" s="457"/>
      <c r="AA49" s="457"/>
      <c r="AB49" s="457"/>
      <c r="AC49" s="457"/>
      <c r="AD49" s="457"/>
      <c r="AE49" s="457"/>
      <c r="AF49" s="457"/>
      <c r="AG49" s="457"/>
      <c r="AH49" s="457"/>
      <c r="AI49" s="457"/>
      <c r="AJ49" s="457"/>
      <c r="AK49" s="457"/>
      <c r="AL49" s="457"/>
      <c r="AM49" s="457"/>
      <c r="AN49" s="457"/>
      <c r="AO49" s="457"/>
      <c r="AP49" s="457"/>
      <c r="AQ49" s="457"/>
      <c r="AR49" s="457"/>
      <c r="AS49" s="457"/>
      <c r="AT49" s="457"/>
      <c r="AU49" s="457"/>
      <c r="AV49" s="457"/>
      <c r="AW49" s="457"/>
      <c r="AX49" s="457"/>
      <c r="AY49" s="457">
        <f>SUM(AZ49:BA49)</f>
        <v>0</v>
      </c>
      <c r="AZ49" s="457">
        <f>SUM(BB49:BI49)+SUM(BQ49:BX49)</f>
        <v>0</v>
      </c>
      <c r="BA49" s="457">
        <f>SUM(BJ49:BP49)+SUM(BY49:CC49)</f>
        <v>0</v>
      </c>
      <c r="BB49" s="457"/>
      <c r="BC49" s="457"/>
      <c r="BD49" s="457"/>
      <c r="BE49" s="457"/>
      <c r="BF49" s="457"/>
      <c r="BG49" s="457"/>
      <c r="BH49" s="457"/>
      <c r="BI49" s="457"/>
      <c r="BJ49" s="457"/>
      <c r="BK49" s="457"/>
      <c r="BL49" s="457"/>
      <c r="BM49" s="457"/>
      <c r="BN49" s="457"/>
      <c r="BO49" s="457"/>
      <c r="BP49" s="457"/>
      <c r="BQ49" s="457"/>
      <c r="BR49" s="457"/>
      <c r="BS49" s="457"/>
      <c r="BT49" s="457"/>
      <c r="BU49" s="457"/>
      <c r="BV49" s="457"/>
      <c r="BW49" s="457"/>
      <c r="BX49" s="457"/>
      <c r="BY49" s="457"/>
      <c r="BZ49" s="457"/>
      <c r="CA49" s="457"/>
      <c r="CB49" s="457"/>
      <c r="CC49" s="457"/>
      <c r="CD49" s="457">
        <f>SUM(CE49:CF49)</f>
        <v>0</v>
      </c>
      <c r="CE49" s="457">
        <f>SUM(CG49:CI49)</f>
        <v>0</v>
      </c>
      <c r="CF49" s="457">
        <f>SUM(CJ49:CQ49)</f>
        <v>0</v>
      </c>
      <c r="CG49" s="457"/>
      <c r="CH49" s="457"/>
      <c r="CI49" s="457"/>
      <c r="CJ49" s="457"/>
      <c r="CK49" s="457"/>
      <c r="CL49" s="457"/>
      <c r="CM49" s="457"/>
      <c r="CN49" s="457"/>
      <c r="CO49" s="457"/>
      <c r="CP49" s="457"/>
      <c r="CQ49" s="457"/>
      <c r="CR49" s="453" t="s">
        <v>250</v>
      </c>
      <c r="CS49" s="457">
        <f>CT49+CZ49+EO49+FT49+GH49</f>
        <v>0</v>
      </c>
      <c r="CT49" s="457">
        <f>SUM(CU49:CY49)</f>
        <v>0</v>
      </c>
      <c r="CU49" s="457"/>
      <c r="CV49" s="457"/>
      <c r="CW49" s="457"/>
      <c r="CX49" s="457"/>
      <c r="CY49" s="457"/>
      <c r="CZ49" s="457">
        <f>SUM(DA49:EN49)</f>
        <v>0</v>
      </c>
      <c r="DA49" s="457"/>
      <c r="DB49" s="457"/>
      <c r="DC49" s="457"/>
      <c r="DD49" s="457"/>
      <c r="DE49" s="457"/>
      <c r="DF49" s="457"/>
      <c r="DG49" s="457"/>
      <c r="DH49" s="457"/>
      <c r="DI49" s="457"/>
      <c r="DJ49" s="457"/>
      <c r="DK49" s="457"/>
      <c r="DL49" s="457"/>
      <c r="DM49" s="457"/>
      <c r="DN49" s="457"/>
      <c r="DO49" s="457"/>
      <c r="DP49" s="457"/>
      <c r="DQ49" s="457"/>
      <c r="DR49" s="457"/>
      <c r="DS49" s="457"/>
      <c r="DT49" s="457"/>
      <c r="DU49" s="457"/>
      <c r="DV49" s="457"/>
      <c r="DW49" s="457"/>
      <c r="DX49" s="457"/>
      <c r="DY49" s="457"/>
      <c r="DZ49" s="457"/>
      <c r="EA49" s="457"/>
      <c r="EB49" s="457"/>
      <c r="EC49" s="457"/>
      <c r="ED49" s="457"/>
      <c r="EE49" s="457"/>
      <c r="EF49" s="457"/>
      <c r="EG49" s="457"/>
      <c r="EH49" s="457"/>
      <c r="EI49" s="457"/>
      <c r="EJ49" s="457"/>
      <c r="EK49" s="457"/>
      <c r="EL49" s="457"/>
      <c r="EM49" s="457"/>
      <c r="EN49" s="457"/>
      <c r="EO49" s="457">
        <f>SUM(EP49:EQ49)</f>
        <v>0</v>
      </c>
      <c r="EP49" s="457">
        <f>SUM(ER49:EY49)+SUM(FG49:FN49)</f>
        <v>0</v>
      </c>
      <c r="EQ49" s="457">
        <f>SUM(EZ49:FF49)+SUM(FO49:FS49)</f>
        <v>0</v>
      </c>
      <c r="ER49" s="457"/>
      <c r="ES49" s="457"/>
      <c r="ET49" s="457"/>
      <c r="EU49" s="457"/>
      <c r="EV49" s="457"/>
      <c r="EW49" s="457"/>
      <c r="EX49" s="457"/>
      <c r="EY49" s="457"/>
      <c r="EZ49" s="457"/>
      <c r="FA49" s="457"/>
      <c r="FB49" s="457"/>
      <c r="FC49" s="457"/>
      <c r="FD49" s="457"/>
      <c r="FE49" s="457"/>
      <c r="FF49" s="457"/>
      <c r="FG49" s="457"/>
      <c r="FH49" s="457"/>
      <c r="FI49" s="457"/>
      <c r="FJ49" s="457"/>
      <c r="FK49" s="457"/>
      <c r="FL49" s="457"/>
      <c r="FM49" s="457"/>
      <c r="FN49" s="457"/>
      <c r="FO49" s="457"/>
      <c r="FP49" s="457"/>
      <c r="FQ49" s="457"/>
      <c r="FR49" s="457"/>
      <c r="FS49" s="457"/>
      <c r="FT49" s="457">
        <f>SUM(FU49:FV49)</f>
        <v>0</v>
      </c>
      <c r="FU49" s="457">
        <f>SUM(FW49:FY49)</f>
        <v>0</v>
      </c>
      <c r="FV49" s="457">
        <f>SUM(FZ49:GG49)</f>
        <v>0</v>
      </c>
      <c r="FW49" s="457"/>
      <c r="FX49" s="457"/>
      <c r="FY49" s="457"/>
      <c r="FZ49" s="457"/>
      <c r="GA49" s="457"/>
      <c r="GB49" s="457"/>
      <c r="GC49" s="457"/>
      <c r="GD49" s="457"/>
      <c r="GE49" s="457"/>
      <c r="GF49" s="457"/>
      <c r="GG49" s="457"/>
      <c r="GH49" s="457"/>
      <c r="GI49" s="453" t="s">
        <v>250</v>
      </c>
      <c r="GJ49" s="455"/>
      <c r="GK49" s="455"/>
      <c r="GL49" s="455"/>
      <c r="GM49" s="455"/>
      <c r="GN49" s="455"/>
    </row>
    <row r="50" spans="1:196" s="456" customFormat="1" ht="15" customHeight="1" hidden="1">
      <c r="A50" s="452"/>
      <c r="B50" s="453" t="s">
        <v>251</v>
      </c>
      <c r="C50" s="457">
        <f>D50+J50+AY50+CD50</f>
        <v>19774021837</v>
      </c>
      <c r="D50" s="457">
        <f>SUM(E50:I50)</f>
        <v>0</v>
      </c>
      <c r="E50" s="457"/>
      <c r="F50" s="457"/>
      <c r="G50" s="457"/>
      <c r="H50" s="457"/>
      <c r="I50" s="457"/>
      <c r="J50" s="457">
        <f>SUM(K50:AX50)</f>
        <v>18556717237</v>
      </c>
      <c r="K50" s="457"/>
      <c r="L50" s="457"/>
      <c r="M50" s="457"/>
      <c r="N50" s="457"/>
      <c r="O50" s="457"/>
      <c r="P50" s="457"/>
      <c r="Q50" s="457"/>
      <c r="R50" s="457">
        <f>607098100-285276500</f>
        <v>321821600</v>
      </c>
      <c r="S50" s="457"/>
      <c r="T50" s="457">
        <f>15000000-3976500</f>
        <v>11023500</v>
      </c>
      <c r="U50" s="457"/>
      <c r="V50" s="457">
        <v>100000000</v>
      </c>
      <c r="W50" s="457">
        <f>1257000000-47118760</f>
        <v>1209881240</v>
      </c>
      <c r="X50" s="457"/>
      <c r="Y50" s="457"/>
      <c r="Z50" s="457"/>
      <c r="AA50" s="457"/>
      <c r="AB50" s="457"/>
      <c r="AC50" s="457"/>
      <c r="AD50" s="457">
        <f>13095600000+199400000</f>
        <v>13295000000</v>
      </c>
      <c r="AE50" s="457">
        <f>2703887000+28003897+130000000+35500000-199400000</f>
        <v>2697990897</v>
      </c>
      <c r="AF50" s="457"/>
      <c r="AG50" s="457"/>
      <c r="AH50" s="457"/>
      <c r="AI50" s="457"/>
      <c r="AJ50" s="457"/>
      <c r="AK50" s="457"/>
      <c r="AL50" s="457"/>
      <c r="AM50" s="457"/>
      <c r="AN50" s="457"/>
      <c r="AO50" s="457"/>
      <c r="AP50" s="457"/>
      <c r="AQ50" s="457"/>
      <c r="AR50" s="457"/>
      <c r="AS50" s="457"/>
      <c r="AT50" s="457"/>
      <c r="AU50" s="457">
        <f>858000000+21000000+10000000+12000000+20000000</f>
        <v>921000000</v>
      </c>
      <c r="AV50" s="457"/>
      <c r="AW50" s="457"/>
      <c r="AX50" s="457"/>
      <c r="AY50" s="457">
        <f>SUM(AZ50:BA50)</f>
        <v>1117304600</v>
      </c>
      <c r="AZ50" s="457">
        <f>SUM(BB50:BI50)+SUM(BQ50:BX50)</f>
        <v>0</v>
      </c>
      <c r="BA50" s="457">
        <f>SUM(BJ50:BP50)+SUM(BY50:CC50)</f>
        <v>1117304600</v>
      </c>
      <c r="BB50" s="457"/>
      <c r="BC50" s="457"/>
      <c r="BD50" s="457"/>
      <c r="BE50" s="457"/>
      <c r="BF50" s="457"/>
      <c r="BG50" s="457"/>
      <c r="BH50" s="457"/>
      <c r="BI50" s="457"/>
      <c r="BJ50" s="457"/>
      <c r="BK50" s="457"/>
      <c r="BL50" s="457"/>
      <c r="BM50" s="457"/>
      <c r="BN50" s="457"/>
      <c r="BO50" s="457"/>
      <c r="BP50" s="457">
        <v>95000000</v>
      </c>
      <c r="BQ50" s="457"/>
      <c r="BR50" s="457"/>
      <c r="BS50" s="457"/>
      <c r="BT50" s="457"/>
      <c r="BU50" s="457"/>
      <c r="BV50" s="457"/>
      <c r="BW50" s="457"/>
      <c r="BX50" s="457"/>
      <c r="BY50" s="457"/>
      <c r="BZ50" s="457"/>
      <c r="CA50" s="457"/>
      <c r="CB50" s="457"/>
      <c r="CC50" s="457">
        <f>1051000000-28695400</f>
        <v>1022304600</v>
      </c>
      <c r="CD50" s="457">
        <f>SUM(CE50:CF50)</f>
        <v>100000000</v>
      </c>
      <c r="CE50" s="457">
        <f>SUM(CG50:CI50)</f>
        <v>0</v>
      </c>
      <c r="CF50" s="457">
        <f>SUM(CJ50:CQ50)</f>
        <v>100000000</v>
      </c>
      <c r="CG50" s="457"/>
      <c r="CH50" s="457"/>
      <c r="CI50" s="457"/>
      <c r="CJ50" s="457"/>
      <c r="CK50" s="457"/>
      <c r="CL50" s="457">
        <v>15000000</v>
      </c>
      <c r="CM50" s="457">
        <v>50000000</v>
      </c>
      <c r="CN50" s="457"/>
      <c r="CO50" s="457"/>
      <c r="CP50" s="457">
        <v>35000000</v>
      </c>
      <c r="CQ50" s="457"/>
      <c r="CR50" s="453" t="s">
        <v>251</v>
      </c>
      <c r="CS50" s="457">
        <f>CT50+CZ50+EO50+FT50+GH50</f>
        <v>19689562801</v>
      </c>
      <c r="CT50" s="457">
        <f>SUM(CU50:CY50)</f>
        <v>0</v>
      </c>
      <c r="CU50" s="457"/>
      <c r="CV50" s="457"/>
      <c r="CW50" s="457"/>
      <c r="CX50" s="457"/>
      <c r="CY50" s="457"/>
      <c r="CZ50" s="457">
        <f>SUM(DA50:EN50)</f>
        <v>18377463201</v>
      </c>
      <c r="DA50" s="457"/>
      <c r="DB50" s="457"/>
      <c r="DC50" s="457"/>
      <c r="DD50" s="457"/>
      <c r="DE50" s="457"/>
      <c r="DF50" s="457"/>
      <c r="DG50" s="457"/>
      <c r="DH50" s="457">
        <v>321821600</v>
      </c>
      <c r="DI50" s="457"/>
      <c r="DJ50" s="457">
        <v>11023500</v>
      </c>
      <c r="DK50" s="457"/>
      <c r="DL50" s="457">
        <f>138243150-38243150</f>
        <v>100000000</v>
      </c>
      <c r="DM50" s="457">
        <f>1109587500+100293740</f>
        <v>1209881240</v>
      </c>
      <c r="DN50" s="457"/>
      <c r="DO50" s="457"/>
      <c r="DP50" s="457"/>
      <c r="DQ50" s="457"/>
      <c r="DR50" s="457"/>
      <c r="DS50" s="457"/>
      <c r="DT50" s="457">
        <f>13095600000+199400000</f>
        <v>13295000000</v>
      </c>
      <c r="DU50" s="457">
        <f>117270000+2627467451+35500000-100293740-199400000+38243150</f>
        <v>2518786861</v>
      </c>
      <c r="DV50" s="457"/>
      <c r="DW50" s="457"/>
      <c r="DX50" s="457"/>
      <c r="DY50" s="457"/>
      <c r="DZ50" s="457"/>
      <c r="EA50" s="457"/>
      <c r="EB50" s="457"/>
      <c r="EC50" s="457"/>
      <c r="ED50" s="457"/>
      <c r="EE50" s="457"/>
      <c r="EF50" s="457"/>
      <c r="EG50" s="457"/>
      <c r="EH50" s="457"/>
      <c r="EI50" s="457"/>
      <c r="EJ50" s="457"/>
      <c r="EK50" s="457">
        <f>858000000+21000000+10000000+11950000+20000000</f>
        <v>920950000</v>
      </c>
      <c r="EL50" s="457"/>
      <c r="EM50" s="457"/>
      <c r="EN50" s="457"/>
      <c r="EO50" s="457">
        <f>SUM(EP50:EQ50)</f>
        <v>1117304600</v>
      </c>
      <c r="EP50" s="457">
        <f>SUM(ER50:EY50)+SUM(FG50:FN50)</f>
        <v>0</v>
      </c>
      <c r="EQ50" s="457">
        <f>SUM(EZ50:FF50)+SUM(FO50:FS50)</f>
        <v>1117304600</v>
      </c>
      <c r="ER50" s="457"/>
      <c r="ES50" s="457"/>
      <c r="ET50" s="457"/>
      <c r="EU50" s="457"/>
      <c r="EV50" s="457"/>
      <c r="EW50" s="457"/>
      <c r="EX50" s="457"/>
      <c r="EY50" s="457"/>
      <c r="EZ50" s="457"/>
      <c r="FA50" s="457"/>
      <c r="FB50" s="457"/>
      <c r="FC50" s="457"/>
      <c r="FD50" s="457"/>
      <c r="FE50" s="457"/>
      <c r="FF50" s="457">
        <v>95000000</v>
      </c>
      <c r="FG50" s="457"/>
      <c r="FH50" s="457"/>
      <c r="FI50" s="457"/>
      <c r="FJ50" s="457"/>
      <c r="FK50" s="457"/>
      <c r="FL50" s="457"/>
      <c r="FM50" s="457"/>
      <c r="FN50" s="457"/>
      <c r="FO50" s="457"/>
      <c r="FP50" s="457"/>
      <c r="FQ50" s="457"/>
      <c r="FR50" s="457"/>
      <c r="FS50" s="457">
        <v>1022304600</v>
      </c>
      <c r="FT50" s="457">
        <f>SUM(FU50:FV50)</f>
        <v>100000000</v>
      </c>
      <c r="FU50" s="457">
        <f>SUM(FW50:FY50)</f>
        <v>0</v>
      </c>
      <c r="FV50" s="457">
        <f>SUM(FZ50:GG50)</f>
        <v>100000000</v>
      </c>
      <c r="FW50" s="457"/>
      <c r="FX50" s="457"/>
      <c r="FY50" s="457"/>
      <c r="FZ50" s="457"/>
      <c r="GA50" s="457"/>
      <c r="GB50" s="457">
        <v>15000000</v>
      </c>
      <c r="GC50" s="457">
        <v>50000000</v>
      </c>
      <c r="GD50" s="457"/>
      <c r="GE50" s="457"/>
      <c r="GF50" s="457">
        <v>35000000</v>
      </c>
      <c r="GG50" s="457"/>
      <c r="GH50" s="457">
        <v>94795000</v>
      </c>
      <c r="GI50" s="453" t="s">
        <v>251</v>
      </c>
      <c r="GJ50" s="455">
        <f>CS50/C50</f>
        <v>0.9957287881698419</v>
      </c>
      <c r="GK50" s="455"/>
      <c r="GL50" s="455">
        <f>CZ50/J50</f>
        <v>0.9903402076072708</v>
      </c>
      <c r="GM50" s="455">
        <f>EO50/AY50</f>
        <v>1</v>
      </c>
      <c r="GN50" s="455">
        <f>FT50/CD50</f>
        <v>1</v>
      </c>
    </row>
    <row r="51" spans="1:196" s="456" customFormat="1" ht="15" customHeight="1">
      <c r="A51" s="452">
        <v>13</v>
      </c>
      <c r="B51" s="453" t="s">
        <v>262</v>
      </c>
      <c r="C51" s="457">
        <f aca="true" t="shared" si="80" ref="C51:H51">C52+C53</f>
        <v>4815313058</v>
      </c>
      <c r="D51" s="457">
        <f t="shared" si="80"/>
        <v>0</v>
      </c>
      <c r="E51" s="457">
        <f t="shared" si="80"/>
        <v>0</v>
      </c>
      <c r="F51" s="457">
        <f t="shared" si="80"/>
        <v>0</v>
      </c>
      <c r="G51" s="457">
        <f t="shared" si="80"/>
        <v>0</v>
      </c>
      <c r="H51" s="457">
        <f t="shared" si="80"/>
        <v>0</v>
      </c>
      <c r="I51" s="457">
        <f aca="true" t="shared" si="81" ref="I51:BY51">I52+I53</f>
        <v>0</v>
      </c>
      <c r="J51" s="457">
        <f>J52+J53</f>
        <v>4801210058</v>
      </c>
      <c r="K51" s="457">
        <f t="shared" si="81"/>
        <v>0</v>
      </c>
      <c r="L51" s="457">
        <f>L52+L53</f>
        <v>0</v>
      </c>
      <c r="M51" s="457">
        <f t="shared" si="81"/>
        <v>0</v>
      </c>
      <c r="N51" s="457">
        <f t="shared" si="81"/>
        <v>0</v>
      </c>
      <c r="O51" s="457">
        <f t="shared" si="81"/>
        <v>0</v>
      </c>
      <c r="P51" s="457">
        <f t="shared" si="81"/>
        <v>0</v>
      </c>
      <c r="Q51" s="457">
        <f t="shared" si="81"/>
        <v>0</v>
      </c>
      <c r="R51" s="457">
        <f t="shared" si="81"/>
        <v>0</v>
      </c>
      <c r="S51" s="457">
        <f>S52+S53</f>
        <v>0</v>
      </c>
      <c r="T51" s="457">
        <f t="shared" si="81"/>
        <v>23987800</v>
      </c>
      <c r="U51" s="457">
        <f t="shared" si="81"/>
        <v>0</v>
      </c>
      <c r="V51" s="457">
        <f>V52+V53</f>
        <v>0</v>
      </c>
      <c r="W51" s="457">
        <f>W52+W53</f>
        <v>0</v>
      </c>
      <c r="X51" s="457">
        <f t="shared" si="81"/>
        <v>0</v>
      </c>
      <c r="Y51" s="457">
        <f t="shared" si="81"/>
        <v>0</v>
      </c>
      <c r="Z51" s="457">
        <f t="shared" si="81"/>
        <v>0</v>
      </c>
      <c r="AA51" s="457">
        <f t="shared" si="81"/>
        <v>0</v>
      </c>
      <c r="AB51" s="457">
        <f t="shared" si="81"/>
        <v>0</v>
      </c>
      <c r="AC51" s="457">
        <f t="shared" si="81"/>
        <v>183900000</v>
      </c>
      <c r="AD51" s="457">
        <f t="shared" si="81"/>
        <v>0</v>
      </c>
      <c r="AE51" s="457">
        <f t="shared" si="81"/>
        <v>0</v>
      </c>
      <c r="AF51" s="457">
        <f t="shared" si="81"/>
        <v>3850843258</v>
      </c>
      <c r="AG51" s="457">
        <f>AG52+AG53</f>
        <v>0</v>
      </c>
      <c r="AH51" s="457">
        <f t="shared" si="81"/>
        <v>0</v>
      </c>
      <c r="AI51" s="457">
        <f t="shared" si="81"/>
        <v>0</v>
      </c>
      <c r="AJ51" s="457">
        <f t="shared" si="81"/>
        <v>0</v>
      </c>
      <c r="AK51" s="457">
        <f t="shared" si="81"/>
        <v>0</v>
      </c>
      <c r="AL51" s="457">
        <f t="shared" si="81"/>
        <v>0</v>
      </c>
      <c r="AM51" s="457">
        <f t="shared" si="81"/>
        <v>166487000</v>
      </c>
      <c r="AN51" s="457">
        <f t="shared" si="81"/>
        <v>0</v>
      </c>
      <c r="AO51" s="457">
        <f t="shared" si="81"/>
        <v>0</v>
      </c>
      <c r="AP51" s="457">
        <f t="shared" si="81"/>
        <v>0</v>
      </c>
      <c r="AQ51" s="457">
        <f>AQ52+AQ53</f>
        <v>0</v>
      </c>
      <c r="AR51" s="457">
        <f>AR52+AR53</f>
        <v>0</v>
      </c>
      <c r="AS51" s="457">
        <f t="shared" si="81"/>
        <v>0</v>
      </c>
      <c r="AT51" s="457">
        <f t="shared" si="81"/>
        <v>0</v>
      </c>
      <c r="AU51" s="457">
        <f t="shared" si="81"/>
        <v>575992000</v>
      </c>
      <c r="AV51" s="457">
        <f>AV52+AV53</f>
        <v>0</v>
      </c>
      <c r="AW51" s="457">
        <f t="shared" si="81"/>
        <v>0</v>
      </c>
      <c r="AX51" s="457">
        <f t="shared" si="81"/>
        <v>0</v>
      </c>
      <c r="AY51" s="457">
        <f>AY52+AY53</f>
        <v>14103000</v>
      </c>
      <c r="AZ51" s="457">
        <f>AZ52+AZ53</f>
        <v>14103000</v>
      </c>
      <c r="BA51" s="457">
        <f>BA52+BA53</f>
        <v>0</v>
      </c>
      <c r="BB51" s="457">
        <f t="shared" si="81"/>
        <v>0</v>
      </c>
      <c r="BC51" s="457">
        <f t="shared" si="81"/>
        <v>0</v>
      </c>
      <c r="BD51" s="457">
        <f t="shared" si="81"/>
        <v>0</v>
      </c>
      <c r="BE51" s="457">
        <f t="shared" si="81"/>
        <v>0</v>
      </c>
      <c r="BF51" s="457">
        <f t="shared" si="81"/>
        <v>0</v>
      </c>
      <c r="BG51" s="457">
        <f t="shared" si="81"/>
        <v>14103000</v>
      </c>
      <c r="BH51" s="457">
        <f t="shared" si="81"/>
        <v>0</v>
      </c>
      <c r="BI51" s="457">
        <f>BI52+BI53</f>
        <v>0</v>
      </c>
      <c r="BJ51" s="457">
        <f t="shared" si="81"/>
        <v>0</v>
      </c>
      <c r="BK51" s="457">
        <f t="shared" si="81"/>
        <v>0</v>
      </c>
      <c r="BL51" s="457">
        <f t="shared" si="81"/>
        <v>0</v>
      </c>
      <c r="BM51" s="457">
        <f t="shared" si="81"/>
        <v>0</v>
      </c>
      <c r="BN51" s="457">
        <f>BN52+BN53</f>
        <v>0</v>
      </c>
      <c r="BO51" s="457">
        <f t="shared" si="81"/>
        <v>0</v>
      </c>
      <c r="BP51" s="457">
        <f t="shared" si="81"/>
        <v>0</v>
      </c>
      <c r="BQ51" s="457">
        <f t="shared" si="81"/>
        <v>0</v>
      </c>
      <c r="BR51" s="457">
        <f t="shared" si="81"/>
        <v>0</v>
      </c>
      <c r="BS51" s="457">
        <f t="shared" si="81"/>
        <v>0</v>
      </c>
      <c r="BT51" s="457">
        <f t="shared" si="81"/>
        <v>0</v>
      </c>
      <c r="BU51" s="457">
        <f t="shared" si="81"/>
        <v>0</v>
      </c>
      <c r="BV51" s="457">
        <f t="shared" si="81"/>
        <v>0</v>
      </c>
      <c r="BW51" s="457">
        <f t="shared" si="81"/>
        <v>0</v>
      </c>
      <c r="BX51" s="457">
        <f t="shared" si="81"/>
        <v>0</v>
      </c>
      <c r="BY51" s="457">
        <f t="shared" si="81"/>
        <v>0</v>
      </c>
      <c r="BZ51" s="457">
        <f aca="true" t="shared" si="82" ref="BZ51:CP51">BZ52+BZ53</f>
        <v>0</v>
      </c>
      <c r="CA51" s="457">
        <f>CA52+CA53</f>
        <v>0</v>
      </c>
      <c r="CB51" s="457">
        <f t="shared" si="82"/>
        <v>0</v>
      </c>
      <c r="CC51" s="457">
        <f t="shared" si="82"/>
        <v>0</v>
      </c>
      <c r="CD51" s="457">
        <f t="shared" si="82"/>
        <v>0</v>
      </c>
      <c r="CE51" s="457">
        <f>CE52+CE53</f>
        <v>0</v>
      </c>
      <c r="CF51" s="457">
        <f>CF52+CF53</f>
        <v>0</v>
      </c>
      <c r="CG51" s="457">
        <f t="shared" si="82"/>
        <v>0</v>
      </c>
      <c r="CH51" s="457">
        <f>CH52+CH53</f>
        <v>0</v>
      </c>
      <c r="CI51" s="457">
        <f>CI52+CI53</f>
        <v>0</v>
      </c>
      <c r="CJ51" s="457">
        <f t="shared" si="82"/>
        <v>0</v>
      </c>
      <c r="CK51" s="457">
        <f t="shared" si="82"/>
        <v>0</v>
      </c>
      <c r="CL51" s="457">
        <f t="shared" si="82"/>
        <v>0</v>
      </c>
      <c r="CM51" s="457">
        <f t="shared" si="82"/>
        <v>0</v>
      </c>
      <c r="CN51" s="457">
        <f t="shared" si="82"/>
        <v>0</v>
      </c>
      <c r="CO51" s="457">
        <f t="shared" si="82"/>
        <v>0</v>
      </c>
      <c r="CP51" s="457">
        <f t="shared" si="82"/>
        <v>0</v>
      </c>
      <c r="CQ51" s="457">
        <f>CQ52+CQ53</f>
        <v>0</v>
      </c>
      <c r="CR51" s="453" t="s">
        <v>262</v>
      </c>
      <c r="CS51" s="457">
        <f aca="true" t="shared" si="83" ref="CS51:FI51">CS52+CS53</f>
        <v>4806852058</v>
      </c>
      <c r="CT51" s="457">
        <f t="shared" si="83"/>
        <v>0</v>
      </c>
      <c r="CU51" s="457">
        <f t="shared" si="83"/>
        <v>0</v>
      </c>
      <c r="CV51" s="457">
        <f>CV52+CV53</f>
        <v>0</v>
      </c>
      <c r="CW51" s="457">
        <f>CW52+CW53</f>
        <v>0</v>
      </c>
      <c r="CX51" s="457">
        <f>CX52+CX53</f>
        <v>0</v>
      </c>
      <c r="CY51" s="457">
        <f t="shared" si="83"/>
        <v>0</v>
      </c>
      <c r="CZ51" s="457">
        <f t="shared" si="83"/>
        <v>4801201058</v>
      </c>
      <c r="DA51" s="457">
        <f t="shared" si="83"/>
        <v>0</v>
      </c>
      <c r="DB51" s="457">
        <f>DB52+DB53</f>
        <v>0</v>
      </c>
      <c r="DC51" s="457">
        <f t="shared" si="83"/>
        <v>0</v>
      </c>
      <c r="DD51" s="457">
        <f t="shared" si="83"/>
        <v>0</v>
      </c>
      <c r="DE51" s="457">
        <f t="shared" si="83"/>
        <v>0</v>
      </c>
      <c r="DF51" s="457">
        <f t="shared" si="83"/>
        <v>0</v>
      </c>
      <c r="DG51" s="457">
        <f t="shared" si="83"/>
        <v>0</v>
      </c>
      <c r="DH51" s="457">
        <f t="shared" si="83"/>
        <v>0</v>
      </c>
      <c r="DI51" s="457">
        <f>DI52+DI53</f>
        <v>0</v>
      </c>
      <c r="DJ51" s="457">
        <f t="shared" si="83"/>
        <v>23987800</v>
      </c>
      <c r="DK51" s="457">
        <f t="shared" si="83"/>
        <v>0</v>
      </c>
      <c r="DL51" s="457">
        <f>DL52+DL53</f>
        <v>0</v>
      </c>
      <c r="DM51" s="457">
        <f>DM52+DM53</f>
        <v>0</v>
      </c>
      <c r="DN51" s="457">
        <f t="shared" si="83"/>
        <v>0</v>
      </c>
      <c r="DO51" s="457">
        <f t="shared" si="83"/>
        <v>0</v>
      </c>
      <c r="DP51" s="457">
        <f t="shared" si="83"/>
        <v>0</v>
      </c>
      <c r="DQ51" s="457">
        <f t="shared" si="83"/>
        <v>0</v>
      </c>
      <c r="DR51" s="457">
        <f t="shared" si="83"/>
        <v>0</v>
      </c>
      <c r="DS51" s="457">
        <f t="shared" si="83"/>
        <v>183900000</v>
      </c>
      <c r="DT51" s="457">
        <f t="shared" si="83"/>
        <v>0</v>
      </c>
      <c r="DU51" s="457">
        <f t="shared" si="83"/>
        <v>0</v>
      </c>
      <c r="DV51" s="457">
        <f t="shared" si="83"/>
        <v>3850843258</v>
      </c>
      <c r="DW51" s="457">
        <f>DW52+DW53</f>
        <v>0</v>
      </c>
      <c r="DX51" s="457">
        <f t="shared" si="83"/>
        <v>0</v>
      </c>
      <c r="DY51" s="457">
        <f t="shared" si="83"/>
        <v>0</v>
      </c>
      <c r="DZ51" s="457">
        <f t="shared" si="83"/>
        <v>0</v>
      </c>
      <c r="EA51" s="457">
        <f t="shared" si="83"/>
        <v>0</v>
      </c>
      <c r="EB51" s="457">
        <f t="shared" si="83"/>
        <v>0</v>
      </c>
      <c r="EC51" s="457">
        <f t="shared" si="83"/>
        <v>166478000</v>
      </c>
      <c r="ED51" s="457">
        <f t="shared" si="83"/>
        <v>0</v>
      </c>
      <c r="EE51" s="457">
        <f t="shared" si="83"/>
        <v>0</v>
      </c>
      <c r="EF51" s="457">
        <f t="shared" si="83"/>
        <v>0</v>
      </c>
      <c r="EG51" s="457">
        <f>EG52+EG53</f>
        <v>0</v>
      </c>
      <c r="EH51" s="457">
        <f>EH52+EH53</f>
        <v>0</v>
      </c>
      <c r="EI51" s="457">
        <f t="shared" si="83"/>
        <v>0</v>
      </c>
      <c r="EJ51" s="457">
        <f t="shared" si="83"/>
        <v>0</v>
      </c>
      <c r="EK51" s="457">
        <f t="shared" si="83"/>
        <v>575992000</v>
      </c>
      <c r="EL51" s="457">
        <f>EL52+EL53</f>
        <v>0</v>
      </c>
      <c r="EM51" s="457">
        <f t="shared" si="83"/>
        <v>0</v>
      </c>
      <c r="EN51" s="457">
        <f t="shared" si="83"/>
        <v>0</v>
      </c>
      <c r="EO51" s="457">
        <f t="shared" si="83"/>
        <v>5651000</v>
      </c>
      <c r="EP51" s="457">
        <f t="shared" si="83"/>
        <v>5651000</v>
      </c>
      <c r="EQ51" s="457">
        <f t="shared" si="83"/>
        <v>0</v>
      </c>
      <c r="ER51" s="457">
        <f t="shared" si="83"/>
        <v>0</v>
      </c>
      <c r="ES51" s="457">
        <f t="shared" si="83"/>
        <v>0</v>
      </c>
      <c r="ET51" s="457">
        <f t="shared" si="83"/>
        <v>0</v>
      </c>
      <c r="EU51" s="457">
        <f t="shared" si="83"/>
        <v>0</v>
      </c>
      <c r="EV51" s="457">
        <f t="shared" si="83"/>
        <v>0</v>
      </c>
      <c r="EW51" s="457">
        <f t="shared" si="83"/>
        <v>5651000</v>
      </c>
      <c r="EX51" s="457">
        <f t="shared" si="83"/>
        <v>0</v>
      </c>
      <c r="EY51" s="457">
        <f>EY52+EY53</f>
        <v>0</v>
      </c>
      <c r="EZ51" s="457">
        <f t="shared" si="83"/>
        <v>0</v>
      </c>
      <c r="FA51" s="457">
        <f t="shared" si="83"/>
        <v>0</v>
      </c>
      <c r="FB51" s="457">
        <f t="shared" si="83"/>
        <v>0</v>
      </c>
      <c r="FC51" s="457">
        <f t="shared" si="83"/>
        <v>0</v>
      </c>
      <c r="FD51" s="457">
        <f>FD52+FD53</f>
        <v>0</v>
      </c>
      <c r="FE51" s="457">
        <f t="shared" si="83"/>
        <v>0</v>
      </c>
      <c r="FF51" s="457">
        <f t="shared" si="83"/>
        <v>0</v>
      </c>
      <c r="FG51" s="457">
        <f t="shared" si="83"/>
        <v>0</v>
      </c>
      <c r="FH51" s="457">
        <f t="shared" si="83"/>
        <v>0</v>
      </c>
      <c r="FI51" s="457">
        <f t="shared" si="83"/>
        <v>0</v>
      </c>
      <c r="FJ51" s="457">
        <f aca="true" t="shared" si="84" ref="FJ51:GF51">FJ52+FJ53</f>
        <v>0</v>
      </c>
      <c r="FK51" s="457">
        <f t="shared" si="84"/>
        <v>0</v>
      </c>
      <c r="FL51" s="457">
        <f t="shared" si="84"/>
        <v>0</v>
      </c>
      <c r="FM51" s="457">
        <f t="shared" si="84"/>
        <v>0</v>
      </c>
      <c r="FN51" s="457">
        <f t="shared" si="84"/>
        <v>0</v>
      </c>
      <c r="FO51" s="457">
        <f t="shared" si="84"/>
        <v>0</v>
      </c>
      <c r="FP51" s="457">
        <f t="shared" si="84"/>
        <v>0</v>
      </c>
      <c r="FQ51" s="457">
        <f>FQ52+FQ53</f>
        <v>0</v>
      </c>
      <c r="FR51" s="457">
        <f t="shared" si="84"/>
        <v>0</v>
      </c>
      <c r="FS51" s="457">
        <f t="shared" si="84"/>
        <v>0</v>
      </c>
      <c r="FT51" s="457">
        <f t="shared" si="84"/>
        <v>0</v>
      </c>
      <c r="FU51" s="457">
        <f t="shared" si="84"/>
        <v>0</v>
      </c>
      <c r="FV51" s="457">
        <f t="shared" si="84"/>
        <v>0</v>
      </c>
      <c r="FW51" s="457">
        <f t="shared" si="84"/>
        <v>0</v>
      </c>
      <c r="FX51" s="457">
        <f>FX52+FX53</f>
        <v>0</v>
      </c>
      <c r="FY51" s="457"/>
      <c r="FZ51" s="457">
        <f t="shared" si="84"/>
        <v>0</v>
      </c>
      <c r="GA51" s="457">
        <f t="shared" si="84"/>
        <v>0</v>
      </c>
      <c r="GB51" s="457">
        <f t="shared" si="84"/>
        <v>0</v>
      </c>
      <c r="GC51" s="457">
        <f t="shared" si="84"/>
        <v>0</v>
      </c>
      <c r="GD51" s="457">
        <f t="shared" si="84"/>
        <v>0</v>
      </c>
      <c r="GE51" s="457">
        <f t="shared" si="84"/>
        <v>0</v>
      </c>
      <c r="GF51" s="457">
        <f t="shared" si="84"/>
        <v>0</v>
      </c>
      <c r="GG51" s="457">
        <f>GG52+GG53</f>
        <v>0</v>
      </c>
      <c r="GH51" s="457">
        <f>GH52+GH53</f>
        <v>0</v>
      </c>
      <c r="GI51" s="453" t="s">
        <v>262</v>
      </c>
      <c r="GJ51" s="455">
        <f>CS51/C51</f>
        <v>0.9982428972118556</v>
      </c>
      <c r="GK51" s="455"/>
      <c r="GL51" s="455">
        <f>CZ51/J51</f>
        <v>0.9999981254725597</v>
      </c>
      <c r="GM51" s="455">
        <f>EO51/AY51</f>
        <v>0.4006948876125647</v>
      </c>
      <c r="GN51" s="455"/>
    </row>
    <row r="52" spans="1:196" s="456" customFormat="1" ht="15" customHeight="1" hidden="1">
      <c r="A52" s="452"/>
      <c r="B52" s="453" t="s">
        <v>250</v>
      </c>
      <c r="C52" s="457">
        <f>D52+J52+AY52+CD52</f>
        <v>14103000</v>
      </c>
      <c r="D52" s="457">
        <f>SUM(E52:I52)</f>
        <v>0</v>
      </c>
      <c r="E52" s="457"/>
      <c r="F52" s="457"/>
      <c r="G52" s="457"/>
      <c r="H52" s="457"/>
      <c r="I52" s="457"/>
      <c r="J52" s="457">
        <f>SUM(K52:AX52)</f>
        <v>0</v>
      </c>
      <c r="K52" s="457"/>
      <c r="L52" s="457"/>
      <c r="M52" s="457"/>
      <c r="N52" s="457"/>
      <c r="O52" s="457"/>
      <c r="P52" s="457"/>
      <c r="Q52" s="457"/>
      <c r="R52" s="457"/>
      <c r="S52" s="457"/>
      <c r="T52" s="457"/>
      <c r="U52" s="457"/>
      <c r="V52" s="457"/>
      <c r="W52" s="457"/>
      <c r="X52" s="457"/>
      <c r="Y52" s="457"/>
      <c r="Z52" s="457"/>
      <c r="AA52" s="457"/>
      <c r="AB52" s="457"/>
      <c r="AC52" s="457"/>
      <c r="AD52" s="457"/>
      <c r="AE52" s="457"/>
      <c r="AF52" s="457"/>
      <c r="AG52" s="457"/>
      <c r="AH52" s="457"/>
      <c r="AI52" s="457"/>
      <c r="AJ52" s="457"/>
      <c r="AK52" s="457"/>
      <c r="AL52" s="457"/>
      <c r="AM52" s="457"/>
      <c r="AN52" s="457"/>
      <c r="AO52" s="457"/>
      <c r="AP52" s="457"/>
      <c r="AQ52" s="457"/>
      <c r="AR52" s="457"/>
      <c r="AS52" s="457"/>
      <c r="AT52" s="457"/>
      <c r="AU52" s="457"/>
      <c r="AV52" s="457"/>
      <c r="AW52" s="457"/>
      <c r="AX52" s="457"/>
      <c r="AY52" s="457">
        <f>SUM(AZ52:BA52)</f>
        <v>14103000</v>
      </c>
      <c r="AZ52" s="457">
        <f>SUM(BB52:BI52)+SUM(BQ52:BX52)</f>
        <v>14103000</v>
      </c>
      <c r="BA52" s="457">
        <f>SUM(BJ52:BP52)+SUM(BY52:CC52)</f>
        <v>0</v>
      </c>
      <c r="BB52" s="457"/>
      <c r="BC52" s="457"/>
      <c r="BD52" s="457"/>
      <c r="BE52" s="457"/>
      <c r="BF52" s="457"/>
      <c r="BG52" s="457">
        <v>14103000</v>
      </c>
      <c r="BH52" s="457"/>
      <c r="BI52" s="457"/>
      <c r="BJ52" s="457"/>
      <c r="BK52" s="457"/>
      <c r="BL52" s="457"/>
      <c r="BM52" s="457"/>
      <c r="BN52" s="457"/>
      <c r="BO52" s="457"/>
      <c r="BP52" s="457"/>
      <c r="BQ52" s="457"/>
      <c r="BR52" s="457"/>
      <c r="BS52" s="457"/>
      <c r="BT52" s="457"/>
      <c r="BU52" s="457"/>
      <c r="BV52" s="457"/>
      <c r="BW52" s="457"/>
      <c r="BX52" s="457"/>
      <c r="BY52" s="457"/>
      <c r="BZ52" s="457"/>
      <c r="CA52" s="457"/>
      <c r="CB52" s="457"/>
      <c r="CC52" s="457"/>
      <c r="CD52" s="457">
        <f>SUM(CE52:CF52)</f>
        <v>0</v>
      </c>
      <c r="CE52" s="457">
        <f>SUM(CG52:CI52)</f>
        <v>0</v>
      </c>
      <c r="CF52" s="457">
        <f>SUM(CJ52:CQ52)</f>
        <v>0</v>
      </c>
      <c r="CG52" s="457"/>
      <c r="CH52" s="457"/>
      <c r="CI52" s="457"/>
      <c r="CJ52" s="457"/>
      <c r="CK52" s="457"/>
      <c r="CL52" s="457"/>
      <c r="CM52" s="457"/>
      <c r="CN52" s="457"/>
      <c r="CO52" s="457"/>
      <c r="CP52" s="457"/>
      <c r="CQ52" s="457"/>
      <c r="CR52" s="453" t="s">
        <v>250</v>
      </c>
      <c r="CS52" s="457">
        <f>CT52+CZ52+EO52+FT52+GH52</f>
        <v>5651000</v>
      </c>
      <c r="CT52" s="457">
        <f>SUM(CU52:CY52)</f>
        <v>0</v>
      </c>
      <c r="CU52" s="457"/>
      <c r="CV52" s="457"/>
      <c r="CW52" s="457"/>
      <c r="CX52" s="457"/>
      <c r="CY52" s="457"/>
      <c r="CZ52" s="457">
        <f>SUM(DA52:EN52)</f>
        <v>0</v>
      </c>
      <c r="DA52" s="457"/>
      <c r="DB52" s="457"/>
      <c r="DC52" s="457"/>
      <c r="DD52" s="457"/>
      <c r="DE52" s="457"/>
      <c r="DF52" s="457"/>
      <c r="DG52" s="457"/>
      <c r="DH52" s="457"/>
      <c r="DI52" s="457"/>
      <c r="DJ52" s="457"/>
      <c r="DK52" s="457"/>
      <c r="DL52" s="457"/>
      <c r="DM52" s="457"/>
      <c r="DN52" s="457"/>
      <c r="DO52" s="457"/>
      <c r="DP52" s="457"/>
      <c r="DQ52" s="457"/>
      <c r="DR52" s="457"/>
      <c r="DS52" s="457"/>
      <c r="DT52" s="457"/>
      <c r="DU52" s="457"/>
      <c r="DV52" s="457"/>
      <c r="DW52" s="457"/>
      <c r="DX52" s="457"/>
      <c r="DY52" s="457"/>
      <c r="DZ52" s="457"/>
      <c r="EA52" s="457"/>
      <c r="EB52" s="457"/>
      <c r="EC52" s="457"/>
      <c r="ED52" s="457"/>
      <c r="EE52" s="457"/>
      <c r="EF52" s="457"/>
      <c r="EG52" s="457"/>
      <c r="EH52" s="457"/>
      <c r="EI52" s="457"/>
      <c r="EJ52" s="457"/>
      <c r="EK52" s="457"/>
      <c r="EL52" s="457"/>
      <c r="EM52" s="457"/>
      <c r="EN52" s="457"/>
      <c r="EO52" s="457">
        <f>SUM(EP52:EQ52)</f>
        <v>5651000</v>
      </c>
      <c r="EP52" s="457">
        <f>SUM(ER52:EY52)+SUM(FG52:FN52)</f>
        <v>5651000</v>
      </c>
      <c r="EQ52" s="457">
        <f>SUM(EZ52:FF52)+SUM(FO52:FS52)</f>
        <v>0</v>
      </c>
      <c r="ER52" s="457"/>
      <c r="ES52" s="457"/>
      <c r="ET52" s="457"/>
      <c r="EU52" s="457"/>
      <c r="EV52" s="457"/>
      <c r="EW52" s="457">
        <v>5651000</v>
      </c>
      <c r="EX52" s="457"/>
      <c r="EY52" s="457"/>
      <c r="EZ52" s="457"/>
      <c r="FA52" s="457"/>
      <c r="FB52" s="457"/>
      <c r="FC52" s="457"/>
      <c r="FD52" s="457"/>
      <c r="FE52" s="457"/>
      <c r="FF52" s="457"/>
      <c r="FG52" s="457"/>
      <c r="FH52" s="457"/>
      <c r="FI52" s="457"/>
      <c r="FJ52" s="457"/>
      <c r="FK52" s="457"/>
      <c r="FL52" s="457"/>
      <c r="FM52" s="457"/>
      <c r="FN52" s="457"/>
      <c r="FO52" s="457"/>
      <c r="FP52" s="457"/>
      <c r="FQ52" s="457"/>
      <c r="FR52" s="457"/>
      <c r="FS52" s="457"/>
      <c r="FT52" s="457">
        <f>SUM(FU52:FV52)</f>
        <v>0</v>
      </c>
      <c r="FU52" s="457">
        <f>SUM(FW52:FY52)</f>
        <v>0</v>
      </c>
      <c r="FV52" s="457">
        <f>SUM(FZ52:GG52)</f>
        <v>0</v>
      </c>
      <c r="FW52" s="457"/>
      <c r="FX52" s="457"/>
      <c r="FY52" s="457"/>
      <c r="FZ52" s="457"/>
      <c r="GA52" s="457"/>
      <c r="GB52" s="457"/>
      <c r="GC52" s="457"/>
      <c r="GD52" s="457"/>
      <c r="GE52" s="457"/>
      <c r="GF52" s="457"/>
      <c r="GG52" s="457"/>
      <c r="GH52" s="457"/>
      <c r="GI52" s="453" t="s">
        <v>250</v>
      </c>
      <c r="GJ52" s="455">
        <f>CS52/C52</f>
        <v>0.4006948876125647</v>
      </c>
      <c r="GK52" s="455"/>
      <c r="GL52" s="455"/>
      <c r="GM52" s="455">
        <f>EO52/AY52</f>
        <v>0.4006948876125647</v>
      </c>
      <c r="GN52" s="455"/>
    </row>
    <row r="53" spans="1:196" s="456" customFormat="1" ht="15" customHeight="1" hidden="1">
      <c r="A53" s="452"/>
      <c r="B53" s="453" t="s">
        <v>251</v>
      </c>
      <c r="C53" s="457">
        <f>D53+J53+AY53+CD53</f>
        <v>4801210058</v>
      </c>
      <c r="D53" s="457">
        <f>SUM(E53:I53)</f>
        <v>0</v>
      </c>
      <c r="E53" s="457"/>
      <c r="F53" s="457"/>
      <c r="G53" s="457"/>
      <c r="H53" s="457"/>
      <c r="I53" s="457"/>
      <c r="J53" s="457">
        <f>SUM(K53:AX53)</f>
        <v>4801210058</v>
      </c>
      <c r="K53" s="457"/>
      <c r="L53" s="457"/>
      <c r="M53" s="457"/>
      <c r="N53" s="457"/>
      <c r="O53" s="457"/>
      <c r="P53" s="457"/>
      <c r="Q53" s="457"/>
      <c r="R53" s="457"/>
      <c r="S53" s="457"/>
      <c r="T53" s="457">
        <f>26996000-3008200</f>
        <v>23987800</v>
      </c>
      <c r="U53" s="457"/>
      <c r="V53" s="457"/>
      <c r="W53" s="457"/>
      <c r="X53" s="457"/>
      <c r="Y53" s="457"/>
      <c r="Z53" s="457"/>
      <c r="AA53" s="457"/>
      <c r="AB53" s="457"/>
      <c r="AC53" s="457">
        <f>232300000-48400000</f>
        <v>183900000</v>
      </c>
      <c r="AD53" s="457"/>
      <c r="AE53" s="457"/>
      <c r="AF53" s="457">
        <f>5828150923-1977307665</f>
        <v>3850843258</v>
      </c>
      <c r="AG53" s="457"/>
      <c r="AH53" s="457"/>
      <c r="AI53" s="457"/>
      <c r="AJ53" s="457"/>
      <c r="AK53" s="457"/>
      <c r="AL53" s="457"/>
      <c r="AM53" s="457">
        <v>166487000</v>
      </c>
      <c r="AN53" s="457"/>
      <c r="AO53" s="457"/>
      <c r="AP53" s="457"/>
      <c r="AQ53" s="457"/>
      <c r="AR53" s="457"/>
      <c r="AS53" s="457"/>
      <c r="AT53" s="457"/>
      <c r="AU53" s="457">
        <v>575992000</v>
      </c>
      <c r="AV53" s="457"/>
      <c r="AW53" s="457"/>
      <c r="AX53" s="457"/>
      <c r="AY53" s="457">
        <f>SUM(AZ53:BA53)</f>
        <v>0</v>
      </c>
      <c r="AZ53" s="457">
        <f>SUM(BB53:BI53)+SUM(BQ53:BX53)</f>
        <v>0</v>
      </c>
      <c r="BA53" s="457">
        <f>SUM(BJ53:BP53)+SUM(BY53:CC53)</f>
        <v>0</v>
      </c>
      <c r="BB53" s="457"/>
      <c r="BC53" s="457"/>
      <c r="BD53" s="457"/>
      <c r="BE53" s="457"/>
      <c r="BF53" s="457"/>
      <c r="BG53" s="457"/>
      <c r="BH53" s="457"/>
      <c r="BI53" s="457"/>
      <c r="BJ53" s="457"/>
      <c r="BK53" s="457"/>
      <c r="BL53" s="457"/>
      <c r="BM53" s="457"/>
      <c r="BN53" s="457"/>
      <c r="BO53" s="457"/>
      <c r="BP53" s="457"/>
      <c r="BQ53" s="457"/>
      <c r="BR53" s="457"/>
      <c r="BS53" s="457"/>
      <c r="BT53" s="457"/>
      <c r="BU53" s="457"/>
      <c r="BV53" s="457"/>
      <c r="BW53" s="457"/>
      <c r="BX53" s="457"/>
      <c r="BY53" s="457"/>
      <c r="BZ53" s="457"/>
      <c r="CA53" s="457"/>
      <c r="CB53" s="457"/>
      <c r="CC53" s="457"/>
      <c r="CD53" s="457">
        <f>SUM(CE53:CF53)</f>
        <v>0</v>
      </c>
      <c r="CE53" s="457">
        <f>SUM(CG53:CI53)</f>
        <v>0</v>
      </c>
      <c r="CF53" s="457">
        <f>SUM(CJ53:CQ53)</f>
        <v>0</v>
      </c>
      <c r="CG53" s="457"/>
      <c r="CH53" s="457"/>
      <c r="CI53" s="457"/>
      <c r="CJ53" s="457"/>
      <c r="CK53" s="457"/>
      <c r="CL53" s="457"/>
      <c r="CM53" s="457"/>
      <c r="CN53" s="457"/>
      <c r="CO53" s="457"/>
      <c r="CP53" s="457"/>
      <c r="CQ53" s="457"/>
      <c r="CR53" s="453" t="s">
        <v>251</v>
      </c>
      <c r="CS53" s="457">
        <f>CT53+CZ53+EO53+FT53+GH53</f>
        <v>4801201058</v>
      </c>
      <c r="CT53" s="457">
        <f>SUM(CU53:CY53)</f>
        <v>0</v>
      </c>
      <c r="CU53" s="457"/>
      <c r="CV53" s="457"/>
      <c r="CW53" s="457"/>
      <c r="CX53" s="457"/>
      <c r="CY53" s="457"/>
      <c r="CZ53" s="457">
        <f>SUM(DA53:EN53)</f>
        <v>4801201058</v>
      </c>
      <c r="DA53" s="457"/>
      <c r="DB53" s="457"/>
      <c r="DC53" s="457"/>
      <c r="DD53" s="457"/>
      <c r="DE53" s="457"/>
      <c r="DF53" s="457"/>
      <c r="DG53" s="457"/>
      <c r="DH53" s="457"/>
      <c r="DI53" s="457"/>
      <c r="DJ53" s="457">
        <v>23987800</v>
      </c>
      <c r="DK53" s="457"/>
      <c r="DL53" s="457"/>
      <c r="DM53" s="457"/>
      <c r="DN53" s="457"/>
      <c r="DO53" s="457"/>
      <c r="DP53" s="457"/>
      <c r="DQ53" s="457"/>
      <c r="DR53" s="457"/>
      <c r="DS53" s="457">
        <v>183900000</v>
      </c>
      <c r="DT53" s="457"/>
      <c r="DU53" s="457"/>
      <c r="DV53" s="457">
        <v>3850843258</v>
      </c>
      <c r="DW53" s="457"/>
      <c r="DX53" s="457"/>
      <c r="DY53" s="457"/>
      <c r="DZ53" s="457"/>
      <c r="EA53" s="457"/>
      <c r="EB53" s="457"/>
      <c r="EC53" s="457">
        <v>166478000</v>
      </c>
      <c r="ED53" s="457"/>
      <c r="EE53" s="457"/>
      <c r="EF53" s="457"/>
      <c r="EG53" s="457"/>
      <c r="EH53" s="457"/>
      <c r="EI53" s="457"/>
      <c r="EJ53" s="457"/>
      <c r="EK53" s="457">
        <v>575992000</v>
      </c>
      <c r="EL53" s="457"/>
      <c r="EM53" s="457"/>
      <c r="EN53" s="457"/>
      <c r="EO53" s="457">
        <f>SUM(EP53:EQ53)</f>
        <v>0</v>
      </c>
      <c r="EP53" s="457">
        <f>SUM(ER53:EY53)+SUM(FG53:FN53)</f>
        <v>0</v>
      </c>
      <c r="EQ53" s="457">
        <f>SUM(EZ53:FF53)+SUM(FO53:FS53)</f>
        <v>0</v>
      </c>
      <c r="ER53" s="457"/>
      <c r="ES53" s="457"/>
      <c r="ET53" s="457"/>
      <c r="EU53" s="457"/>
      <c r="EV53" s="457"/>
      <c r="EW53" s="457"/>
      <c r="EX53" s="457"/>
      <c r="EY53" s="457"/>
      <c r="EZ53" s="457"/>
      <c r="FA53" s="457"/>
      <c r="FB53" s="457"/>
      <c r="FC53" s="457"/>
      <c r="FD53" s="457"/>
      <c r="FE53" s="457"/>
      <c r="FF53" s="457"/>
      <c r="FG53" s="457"/>
      <c r="FH53" s="457"/>
      <c r="FI53" s="457"/>
      <c r="FJ53" s="457"/>
      <c r="FK53" s="457"/>
      <c r="FL53" s="457"/>
      <c r="FM53" s="457"/>
      <c r="FN53" s="457"/>
      <c r="FO53" s="457"/>
      <c r="FP53" s="457"/>
      <c r="FQ53" s="457"/>
      <c r="FR53" s="457"/>
      <c r="FS53" s="457"/>
      <c r="FT53" s="457">
        <f>SUM(FU53:FV53)</f>
        <v>0</v>
      </c>
      <c r="FU53" s="457">
        <f>SUM(FW53:FY53)</f>
        <v>0</v>
      </c>
      <c r="FV53" s="457">
        <f>SUM(FZ53:GG53)</f>
        <v>0</v>
      </c>
      <c r="FW53" s="457"/>
      <c r="FX53" s="457"/>
      <c r="FY53" s="457"/>
      <c r="FZ53" s="457"/>
      <c r="GA53" s="457"/>
      <c r="GB53" s="457"/>
      <c r="GC53" s="457"/>
      <c r="GD53" s="457"/>
      <c r="GE53" s="457"/>
      <c r="GF53" s="457"/>
      <c r="GG53" s="457"/>
      <c r="GH53" s="457"/>
      <c r="GI53" s="453" t="s">
        <v>251</v>
      </c>
      <c r="GJ53" s="455">
        <f>CS53/C53</f>
        <v>0.9999981254725597</v>
      </c>
      <c r="GK53" s="455"/>
      <c r="GL53" s="455">
        <f>CZ53/J53</f>
        <v>0.9999981254725597</v>
      </c>
      <c r="GM53" s="455"/>
      <c r="GN53" s="455"/>
    </row>
    <row r="54" spans="1:196" s="456" customFormat="1" ht="15" customHeight="1">
      <c r="A54" s="452">
        <v>14</v>
      </c>
      <c r="B54" s="453" t="s">
        <v>263</v>
      </c>
      <c r="C54" s="457">
        <f aca="true" t="shared" si="85" ref="C54:H54">C55+C56</f>
        <v>357579111313</v>
      </c>
      <c r="D54" s="457">
        <f t="shared" si="85"/>
        <v>0</v>
      </c>
      <c r="E54" s="457">
        <f t="shared" si="85"/>
        <v>0</v>
      </c>
      <c r="F54" s="457">
        <f t="shared" si="85"/>
        <v>0</v>
      </c>
      <c r="G54" s="457">
        <f t="shared" si="85"/>
        <v>0</v>
      </c>
      <c r="H54" s="457">
        <f t="shared" si="85"/>
        <v>0</v>
      </c>
      <c r="I54" s="457">
        <f aca="true" t="shared" si="86" ref="I54:BY54">I55+I56</f>
        <v>0</v>
      </c>
      <c r="J54" s="457">
        <f>J55+J56</f>
        <v>357579111313</v>
      </c>
      <c r="K54" s="457">
        <f t="shared" si="86"/>
        <v>0</v>
      </c>
      <c r="L54" s="457">
        <f>L55+L56</f>
        <v>0</v>
      </c>
      <c r="M54" s="457">
        <f t="shared" si="86"/>
        <v>310115609813</v>
      </c>
      <c r="N54" s="457">
        <f t="shared" si="86"/>
        <v>15596544500</v>
      </c>
      <c r="O54" s="457">
        <f t="shared" si="86"/>
        <v>19396000000</v>
      </c>
      <c r="P54" s="457">
        <f t="shared" si="86"/>
        <v>4599472000</v>
      </c>
      <c r="Q54" s="457">
        <f t="shared" si="86"/>
        <v>6846680000</v>
      </c>
      <c r="R54" s="457">
        <f t="shared" si="86"/>
        <v>0</v>
      </c>
      <c r="S54" s="457">
        <f>S55+S56</f>
        <v>0</v>
      </c>
      <c r="T54" s="457">
        <f t="shared" si="86"/>
        <v>12805000</v>
      </c>
      <c r="U54" s="457">
        <f t="shared" si="86"/>
        <v>0</v>
      </c>
      <c r="V54" s="457">
        <f>V55+V56</f>
        <v>0</v>
      </c>
      <c r="W54" s="457">
        <f>W55+W56</f>
        <v>0</v>
      </c>
      <c r="X54" s="457">
        <f t="shared" si="86"/>
        <v>0</v>
      </c>
      <c r="Y54" s="457">
        <f t="shared" si="86"/>
        <v>0</v>
      </c>
      <c r="Z54" s="457">
        <f t="shared" si="86"/>
        <v>0</v>
      </c>
      <c r="AA54" s="457">
        <f t="shared" si="86"/>
        <v>0</v>
      </c>
      <c r="AB54" s="457">
        <f t="shared" si="86"/>
        <v>0</v>
      </c>
      <c r="AC54" s="457">
        <f t="shared" si="86"/>
        <v>0</v>
      </c>
      <c r="AD54" s="457">
        <f t="shared" si="86"/>
        <v>0</v>
      </c>
      <c r="AE54" s="457">
        <f t="shared" si="86"/>
        <v>0</v>
      </c>
      <c r="AF54" s="457">
        <f t="shared" si="86"/>
        <v>0</v>
      </c>
      <c r="AG54" s="457">
        <f>AG55+AG56</f>
        <v>0</v>
      </c>
      <c r="AH54" s="457">
        <f t="shared" si="86"/>
        <v>0</v>
      </c>
      <c r="AI54" s="457">
        <f t="shared" si="86"/>
        <v>0</v>
      </c>
      <c r="AJ54" s="457">
        <f t="shared" si="86"/>
        <v>0</v>
      </c>
      <c r="AK54" s="457">
        <f t="shared" si="86"/>
        <v>0</v>
      </c>
      <c r="AL54" s="457">
        <f t="shared" si="86"/>
        <v>0</v>
      </c>
      <c r="AM54" s="457">
        <f t="shared" si="86"/>
        <v>0</v>
      </c>
      <c r="AN54" s="457">
        <f t="shared" si="86"/>
        <v>0</v>
      </c>
      <c r="AO54" s="457">
        <f t="shared" si="86"/>
        <v>0</v>
      </c>
      <c r="AP54" s="457">
        <f t="shared" si="86"/>
        <v>0</v>
      </c>
      <c r="AQ54" s="457">
        <f>AQ55+AQ56</f>
        <v>0</v>
      </c>
      <c r="AR54" s="457">
        <f>AR55+AR56</f>
        <v>0</v>
      </c>
      <c r="AS54" s="457">
        <f t="shared" si="86"/>
        <v>0</v>
      </c>
      <c r="AT54" s="457">
        <f t="shared" si="86"/>
        <v>0</v>
      </c>
      <c r="AU54" s="457">
        <f t="shared" si="86"/>
        <v>950000000</v>
      </c>
      <c r="AV54" s="457">
        <f>AV55+AV56</f>
        <v>62000000</v>
      </c>
      <c r="AW54" s="457">
        <f t="shared" si="86"/>
        <v>0</v>
      </c>
      <c r="AX54" s="457">
        <f t="shared" si="86"/>
        <v>0</v>
      </c>
      <c r="AY54" s="457">
        <f>AY55+AY56</f>
        <v>0</v>
      </c>
      <c r="AZ54" s="457">
        <f>AZ55+AZ56</f>
        <v>0</v>
      </c>
      <c r="BA54" s="457">
        <f>BA55+BA56</f>
        <v>0</v>
      </c>
      <c r="BB54" s="457">
        <f t="shared" si="86"/>
        <v>0</v>
      </c>
      <c r="BC54" s="457">
        <f t="shared" si="86"/>
        <v>0</v>
      </c>
      <c r="BD54" s="457">
        <f t="shared" si="86"/>
        <v>0</v>
      </c>
      <c r="BE54" s="457">
        <f t="shared" si="86"/>
        <v>0</v>
      </c>
      <c r="BF54" s="457">
        <f t="shared" si="86"/>
        <v>0</v>
      </c>
      <c r="BG54" s="457">
        <f t="shared" si="86"/>
        <v>0</v>
      </c>
      <c r="BH54" s="457">
        <f t="shared" si="86"/>
        <v>0</v>
      </c>
      <c r="BI54" s="457">
        <f>BI55+BI56</f>
        <v>0</v>
      </c>
      <c r="BJ54" s="457">
        <f t="shared" si="86"/>
        <v>0</v>
      </c>
      <c r="BK54" s="457">
        <f t="shared" si="86"/>
        <v>0</v>
      </c>
      <c r="BL54" s="457">
        <f t="shared" si="86"/>
        <v>0</v>
      </c>
      <c r="BM54" s="457">
        <f t="shared" si="86"/>
        <v>0</v>
      </c>
      <c r="BN54" s="457">
        <f>BN55+BN56</f>
        <v>0</v>
      </c>
      <c r="BO54" s="457">
        <f t="shared" si="86"/>
        <v>0</v>
      </c>
      <c r="BP54" s="457">
        <f t="shared" si="86"/>
        <v>0</v>
      </c>
      <c r="BQ54" s="457">
        <f t="shared" si="86"/>
        <v>0</v>
      </c>
      <c r="BR54" s="457">
        <f t="shared" si="86"/>
        <v>0</v>
      </c>
      <c r="BS54" s="457">
        <f t="shared" si="86"/>
        <v>0</v>
      </c>
      <c r="BT54" s="457">
        <f t="shared" si="86"/>
        <v>0</v>
      </c>
      <c r="BU54" s="457">
        <f t="shared" si="86"/>
        <v>0</v>
      </c>
      <c r="BV54" s="457">
        <f t="shared" si="86"/>
        <v>0</v>
      </c>
      <c r="BW54" s="457">
        <f t="shared" si="86"/>
        <v>0</v>
      </c>
      <c r="BX54" s="457">
        <f t="shared" si="86"/>
        <v>0</v>
      </c>
      <c r="BY54" s="457">
        <f t="shared" si="86"/>
        <v>0</v>
      </c>
      <c r="BZ54" s="457">
        <f aca="true" t="shared" si="87" ref="BZ54:CP54">BZ55+BZ56</f>
        <v>0</v>
      </c>
      <c r="CA54" s="457">
        <f>CA55+CA56</f>
        <v>0</v>
      </c>
      <c r="CB54" s="457">
        <f t="shared" si="87"/>
        <v>0</v>
      </c>
      <c r="CC54" s="457">
        <f t="shared" si="87"/>
        <v>0</v>
      </c>
      <c r="CD54" s="457">
        <f t="shared" si="87"/>
        <v>0</v>
      </c>
      <c r="CE54" s="457">
        <f>CE55+CE56</f>
        <v>0</v>
      </c>
      <c r="CF54" s="457">
        <f>CF55+CF56</f>
        <v>0</v>
      </c>
      <c r="CG54" s="457">
        <f t="shared" si="87"/>
        <v>0</v>
      </c>
      <c r="CH54" s="457">
        <f>CH55+CH56</f>
        <v>0</v>
      </c>
      <c r="CI54" s="457">
        <f>CI55+CI56</f>
        <v>0</v>
      </c>
      <c r="CJ54" s="457">
        <f t="shared" si="87"/>
        <v>0</v>
      </c>
      <c r="CK54" s="457">
        <f t="shared" si="87"/>
        <v>0</v>
      </c>
      <c r="CL54" s="457">
        <f t="shared" si="87"/>
        <v>0</v>
      </c>
      <c r="CM54" s="457">
        <f t="shared" si="87"/>
        <v>0</v>
      </c>
      <c r="CN54" s="457">
        <f t="shared" si="87"/>
        <v>0</v>
      </c>
      <c r="CO54" s="457">
        <f t="shared" si="87"/>
        <v>0</v>
      </c>
      <c r="CP54" s="457">
        <f t="shared" si="87"/>
        <v>0</v>
      </c>
      <c r="CQ54" s="457">
        <f>CQ55+CQ56</f>
        <v>0</v>
      </c>
      <c r="CR54" s="453" t="s">
        <v>263</v>
      </c>
      <c r="CS54" s="457">
        <f aca="true" t="shared" si="88" ref="CS54:FI54">CS55+CS56</f>
        <v>357579111313</v>
      </c>
      <c r="CT54" s="457">
        <f t="shared" si="88"/>
        <v>0</v>
      </c>
      <c r="CU54" s="457">
        <f t="shared" si="88"/>
        <v>0</v>
      </c>
      <c r="CV54" s="457">
        <f>CV55+CV56</f>
        <v>0</v>
      </c>
      <c r="CW54" s="457">
        <f>CW55+CW56</f>
        <v>0</v>
      </c>
      <c r="CX54" s="457">
        <f>CX55+CX56</f>
        <v>0</v>
      </c>
      <c r="CY54" s="457">
        <f t="shared" si="88"/>
        <v>0</v>
      </c>
      <c r="CZ54" s="457">
        <f t="shared" si="88"/>
        <v>357529201313</v>
      </c>
      <c r="DA54" s="457">
        <f t="shared" si="88"/>
        <v>0</v>
      </c>
      <c r="DB54" s="457">
        <f>DB55+DB56</f>
        <v>0</v>
      </c>
      <c r="DC54" s="457">
        <f t="shared" si="88"/>
        <v>310115609813</v>
      </c>
      <c r="DD54" s="457">
        <f t="shared" si="88"/>
        <v>15596544500</v>
      </c>
      <c r="DE54" s="457">
        <f t="shared" si="88"/>
        <v>19396000000</v>
      </c>
      <c r="DF54" s="457">
        <f t="shared" si="88"/>
        <v>4566320000</v>
      </c>
      <c r="DG54" s="457">
        <f t="shared" si="88"/>
        <v>6829922000</v>
      </c>
      <c r="DH54" s="457">
        <f t="shared" si="88"/>
        <v>0</v>
      </c>
      <c r="DI54" s="457">
        <f>DI55+DI56</f>
        <v>0</v>
      </c>
      <c r="DJ54" s="457">
        <f t="shared" si="88"/>
        <v>12805000</v>
      </c>
      <c r="DK54" s="457">
        <f t="shared" si="88"/>
        <v>0</v>
      </c>
      <c r="DL54" s="457">
        <f>DL55+DL56</f>
        <v>0</v>
      </c>
      <c r="DM54" s="457">
        <f>DM55+DM56</f>
        <v>0</v>
      </c>
      <c r="DN54" s="457">
        <f t="shared" si="88"/>
        <v>0</v>
      </c>
      <c r="DO54" s="457">
        <f t="shared" si="88"/>
        <v>0</v>
      </c>
      <c r="DP54" s="457">
        <f t="shared" si="88"/>
        <v>0</v>
      </c>
      <c r="DQ54" s="457">
        <f t="shared" si="88"/>
        <v>0</v>
      </c>
      <c r="DR54" s="457">
        <f t="shared" si="88"/>
        <v>0</v>
      </c>
      <c r="DS54" s="457">
        <f t="shared" si="88"/>
        <v>0</v>
      </c>
      <c r="DT54" s="457">
        <f t="shared" si="88"/>
        <v>0</v>
      </c>
      <c r="DU54" s="457">
        <f t="shared" si="88"/>
        <v>0</v>
      </c>
      <c r="DV54" s="457">
        <f t="shared" si="88"/>
        <v>0</v>
      </c>
      <c r="DW54" s="457">
        <f>DW55+DW56</f>
        <v>0</v>
      </c>
      <c r="DX54" s="457">
        <f t="shared" si="88"/>
        <v>0</v>
      </c>
      <c r="DY54" s="457">
        <f t="shared" si="88"/>
        <v>0</v>
      </c>
      <c r="DZ54" s="457">
        <f t="shared" si="88"/>
        <v>0</v>
      </c>
      <c r="EA54" s="457">
        <f t="shared" si="88"/>
        <v>0</v>
      </c>
      <c r="EB54" s="457">
        <f t="shared" si="88"/>
        <v>0</v>
      </c>
      <c r="EC54" s="457">
        <f t="shared" si="88"/>
        <v>0</v>
      </c>
      <c r="ED54" s="457">
        <f t="shared" si="88"/>
        <v>0</v>
      </c>
      <c r="EE54" s="457">
        <f t="shared" si="88"/>
        <v>0</v>
      </c>
      <c r="EF54" s="457">
        <f t="shared" si="88"/>
        <v>0</v>
      </c>
      <c r="EG54" s="457">
        <f>EG55+EG56</f>
        <v>0</v>
      </c>
      <c r="EH54" s="457">
        <f>EH55+EH56</f>
        <v>0</v>
      </c>
      <c r="EI54" s="457">
        <f t="shared" si="88"/>
        <v>0</v>
      </c>
      <c r="EJ54" s="457">
        <f t="shared" si="88"/>
        <v>0</v>
      </c>
      <c r="EK54" s="457">
        <f t="shared" si="88"/>
        <v>950000000</v>
      </c>
      <c r="EL54" s="457">
        <f>EL55+EL56</f>
        <v>62000000</v>
      </c>
      <c r="EM54" s="457">
        <f t="shared" si="88"/>
        <v>0</v>
      </c>
      <c r="EN54" s="457">
        <f t="shared" si="88"/>
        <v>0</v>
      </c>
      <c r="EO54" s="457">
        <f t="shared" si="88"/>
        <v>0</v>
      </c>
      <c r="EP54" s="457">
        <f t="shared" si="88"/>
        <v>0</v>
      </c>
      <c r="EQ54" s="457">
        <f t="shared" si="88"/>
        <v>0</v>
      </c>
      <c r="ER54" s="457">
        <f t="shared" si="88"/>
        <v>0</v>
      </c>
      <c r="ES54" s="457">
        <f t="shared" si="88"/>
        <v>0</v>
      </c>
      <c r="ET54" s="457">
        <f t="shared" si="88"/>
        <v>0</v>
      </c>
      <c r="EU54" s="457">
        <f t="shared" si="88"/>
        <v>0</v>
      </c>
      <c r="EV54" s="457">
        <f t="shared" si="88"/>
        <v>0</v>
      </c>
      <c r="EW54" s="457">
        <f t="shared" si="88"/>
        <v>0</v>
      </c>
      <c r="EX54" s="457">
        <f t="shared" si="88"/>
        <v>0</v>
      </c>
      <c r="EY54" s="457">
        <f>EY55+EY56</f>
        <v>0</v>
      </c>
      <c r="EZ54" s="457">
        <f t="shared" si="88"/>
        <v>0</v>
      </c>
      <c r="FA54" s="457">
        <f t="shared" si="88"/>
        <v>0</v>
      </c>
      <c r="FB54" s="457">
        <f t="shared" si="88"/>
        <v>0</v>
      </c>
      <c r="FC54" s="457">
        <f t="shared" si="88"/>
        <v>0</v>
      </c>
      <c r="FD54" s="457">
        <f>FD55+FD56</f>
        <v>0</v>
      </c>
      <c r="FE54" s="457">
        <f t="shared" si="88"/>
        <v>0</v>
      </c>
      <c r="FF54" s="457">
        <f t="shared" si="88"/>
        <v>0</v>
      </c>
      <c r="FG54" s="457">
        <f t="shared" si="88"/>
        <v>0</v>
      </c>
      <c r="FH54" s="457">
        <f t="shared" si="88"/>
        <v>0</v>
      </c>
      <c r="FI54" s="457">
        <f t="shared" si="88"/>
        <v>0</v>
      </c>
      <c r="FJ54" s="457">
        <f aca="true" t="shared" si="89" ref="FJ54:GF54">FJ55+FJ56</f>
        <v>0</v>
      </c>
      <c r="FK54" s="457">
        <f t="shared" si="89"/>
        <v>0</v>
      </c>
      <c r="FL54" s="457">
        <f t="shared" si="89"/>
        <v>0</v>
      </c>
      <c r="FM54" s="457">
        <f t="shared" si="89"/>
        <v>0</v>
      </c>
      <c r="FN54" s="457">
        <f t="shared" si="89"/>
        <v>0</v>
      </c>
      <c r="FO54" s="457">
        <f t="shared" si="89"/>
        <v>0</v>
      </c>
      <c r="FP54" s="457">
        <f t="shared" si="89"/>
        <v>0</v>
      </c>
      <c r="FQ54" s="457">
        <f>FQ55+FQ56</f>
        <v>0</v>
      </c>
      <c r="FR54" s="457">
        <f t="shared" si="89"/>
        <v>0</v>
      </c>
      <c r="FS54" s="457">
        <f t="shared" si="89"/>
        <v>0</v>
      </c>
      <c r="FT54" s="457">
        <f t="shared" si="89"/>
        <v>0</v>
      </c>
      <c r="FU54" s="457">
        <f t="shared" si="89"/>
        <v>0</v>
      </c>
      <c r="FV54" s="457">
        <f t="shared" si="89"/>
        <v>0</v>
      </c>
      <c r="FW54" s="457">
        <f t="shared" si="89"/>
        <v>0</v>
      </c>
      <c r="FX54" s="457">
        <f>FX55+FX56</f>
        <v>0</v>
      </c>
      <c r="FY54" s="457"/>
      <c r="FZ54" s="457">
        <f t="shared" si="89"/>
        <v>0</v>
      </c>
      <c r="GA54" s="457">
        <f t="shared" si="89"/>
        <v>0</v>
      </c>
      <c r="GB54" s="457">
        <f t="shared" si="89"/>
        <v>0</v>
      </c>
      <c r="GC54" s="457">
        <f t="shared" si="89"/>
        <v>0</v>
      </c>
      <c r="GD54" s="457">
        <f t="shared" si="89"/>
        <v>0</v>
      </c>
      <c r="GE54" s="457">
        <f t="shared" si="89"/>
        <v>0</v>
      </c>
      <c r="GF54" s="457">
        <f t="shared" si="89"/>
        <v>0</v>
      </c>
      <c r="GG54" s="457">
        <f>GG55+GG56</f>
        <v>0</v>
      </c>
      <c r="GH54" s="457">
        <f>GH55+GH56</f>
        <v>49910000</v>
      </c>
      <c r="GI54" s="453" t="s">
        <v>263</v>
      </c>
      <c r="GJ54" s="455">
        <f>CS54/C54</f>
        <v>1</v>
      </c>
      <c r="GK54" s="455"/>
      <c r="GL54" s="455">
        <f>CZ54/J54</f>
        <v>0.9998604224955514</v>
      </c>
      <c r="GM54" s="455"/>
      <c r="GN54" s="455"/>
    </row>
    <row r="55" spans="1:196" s="456" customFormat="1" ht="15" customHeight="1" hidden="1">
      <c r="A55" s="452"/>
      <c r="B55" s="453" t="s">
        <v>250</v>
      </c>
      <c r="C55" s="457">
        <f>D55+J55+AY55+CD55</f>
        <v>0</v>
      </c>
      <c r="D55" s="457">
        <f>SUM(E55:I55)</f>
        <v>0</v>
      </c>
      <c r="E55" s="457"/>
      <c r="F55" s="457"/>
      <c r="G55" s="457"/>
      <c r="H55" s="457"/>
      <c r="I55" s="457"/>
      <c r="J55" s="457">
        <f>SUM(K55:AX55)</f>
        <v>0</v>
      </c>
      <c r="K55" s="457"/>
      <c r="L55" s="457"/>
      <c r="M55" s="457"/>
      <c r="N55" s="457"/>
      <c r="O55" s="457"/>
      <c r="P55" s="457"/>
      <c r="Q55" s="457"/>
      <c r="R55" s="457"/>
      <c r="S55" s="457"/>
      <c r="T55" s="457"/>
      <c r="U55" s="457"/>
      <c r="V55" s="457"/>
      <c r="W55" s="457"/>
      <c r="X55" s="457"/>
      <c r="Y55" s="457"/>
      <c r="Z55" s="457"/>
      <c r="AA55" s="457"/>
      <c r="AB55" s="457"/>
      <c r="AC55" s="457"/>
      <c r="AD55" s="457"/>
      <c r="AE55" s="457"/>
      <c r="AF55" s="457"/>
      <c r="AG55" s="457"/>
      <c r="AH55" s="457"/>
      <c r="AI55" s="457"/>
      <c r="AJ55" s="457"/>
      <c r="AK55" s="457"/>
      <c r="AL55" s="457"/>
      <c r="AM55" s="457"/>
      <c r="AN55" s="457"/>
      <c r="AO55" s="457"/>
      <c r="AP55" s="457"/>
      <c r="AQ55" s="457"/>
      <c r="AR55" s="457"/>
      <c r="AS55" s="457"/>
      <c r="AT55" s="457"/>
      <c r="AU55" s="457"/>
      <c r="AV55" s="457"/>
      <c r="AW55" s="457"/>
      <c r="AX55" s="457"/>
      <c r="AY55" s="457">
        <f>SUM(AZ55:BA55)</f>
        <v>0</v>
      </c>
      <c r="AZ55" s="457">
        <f>SUM(BB55:BI55)+SUM(BQ55:BX55)</f>
        <v>0</v>
      </c>
      <c r="BA55" s="457">
        <f>SUM(BJ55:BP55)+SUM(BY55:CC55)</f>
        <v>0</v>
      </c>
      <c r="BB55" s="457"/>
      <c r="BC55" s="457"/>
      <c r="BD55" s="457"/>
      <c r="BE55" s="457"/>
      <c r="BF55" s="457"/>
      <c r="BG55" s="457"/>
      <c r="BH55" s="457"/>
      <c r="BI55" s="457"/>
      <c r="BJ55" s="457"/>
      <c r="BK55" s="457"/>
      <c r="BL55" s="457"/>
      <c r="BM55" s="457"/>
      <c r="BN55" s="457"/>
      <c r="BO55" s="457"/>
      <c r="BP55" s="457"/>
      <c r="BQ55" s="457"/>
      <c r="BR55" s="457"/>
      <c r="BS55" s="457"/>
      <c r="BT55" s="457"/>
      <c r="BU55" s="457"/>
      <c r="BV55" s="457"/>
      <c r="BW55" s="457"/>
      <c r="BX55" s="457"/>
      <c r="BY55" s="457"/>
      <c r="BZ55" s="457"/>
      <c r="CA55" s="457"/>
      <c r="CB55" s="457"/>
      <c r="CC55" s="457"/>
      <c r="CD55" s="457">
        <f>SUM(CE55:CF55)</f>
        <v>0</v>
      </c>
      <c r="CE55" s="457">
        <f>SUM(CG55:CI55)</f>
        <v>0</v>
      </c>
      <c r="CF55" s="457">
        <f>SUM(CJ55:CQ55)</f>
        <v>0</v>
      </c>
      <c r="CG55" s="457"/>
      <c r="CH55" s="457"/>
      <c r="CI55" s="457"/>
      <c r="CJ55" s="457"/>
      <c r="CK55" s="457"/>
      <c r="CL55" s="457"/>
      <c r="CM55" s="457"/>
      <c r="CN55" s="457"/>
      <c r="CO55" s="457"/>
      <c r="CP55" s="457"/>
      <c r="CQ55" s="457"/>
      <c r="CR55" s="453" t="s">
        <v>250</v>
      </c>
      <c r="CS55" s="457">
        <f>CT55+CZ55+EO55+FT55+GH55</f>
        <v>0</v>
      </c>
      <c r="CT55" s="457">
        <f>SUM(CU55:CY55)</f>
        <v>0</v>
      </c>
      <c r="CU55" s="457"/>
      <c r="CV55" s="457"/>
      <c r="CW55" s="457"/>
      <c r="CX55" s="457"/>
      <c r="CY55" s="457"/>
      <c r="CZ55" s="457">
        <f>SUM(DA55:EN55)</f>
        <v>0</v>
      </c>
      <c r="DA55" s="457"/>
      <c r="DB55" s="457"/>
      <c r="DC55" s="457"/>
      <c r="DD55" s="457"/>
      <c r="DE55" s="457"/>
      <c r="DF55" s="457"/>
      <c r="DG55" s="457"/>
      <c r="DH55" s="457"/>
      <c r="DI55" s="457"/>
      <c r="DJ55" s="457"/>
      <c r="DK55" s="457"/>
      <c r="DL55" s="457"/>
      <c r="DM55" s="457"/>
      <c r="DN55" s="457"/>
      <c r="DO55" s="457"/>
      <c r="DP55" s="457"/>
      <c r="DQ55" s="457"/>
      <c r="DR55" s="457"/>
      <c r="DS55" s="457"/>
      <c r="DT55" s="457"/>
      <c r="DU55" s="457"/>
      <c r="DV55" s="457"/>
      <c r="DW55" s="457"/>
      <c r="DX55" s="457"/>
      <c r="DY55" s="457"/>
      <c r="DZ55" s="457"/>
      <c r="EA55" s="457"/>
      <c r="EB55" s="457"/>
      <c r="EC55" s="457"/>
      <c r="ED55" s="457"/>
      <c r="EE55" s="457"/>
      <c r="EF55" s="457"/>
      <c r="EG55" s="457"/>
      <c r="EH55" s="457"/>
      <c r="EI55" s="457"/>
      <c r="EJ55" s="457"/>
      <c r="EK55" s="457"/>
      <c r="EL55" s="457"/>
      <c r="EM55" s="457"/>
      <c r="EN55" s="457"/>
      <c r="EO55" s="457">
        <f>SUM(EP55:EQ55)</f>
        <v>0</v>
      </c>
      <c r="EP55" s="457">
        <f>SUM(ER55:EY55)+SUM(FG55:FN55)</f>
        <v>0</v>
      </c>
      <c r="EQ55" s="457">
        <f>SUM(EZ55:FF55)+SUM(FO55:FS55)</f>
        <v>0</v>
      </c>
      <c r="ER55" s="457"/>
      <c r="ES55" s="457"/>
      <c r="ET55" s="457"/>
      <c r="EU55" s="457"/>
      <c r="EV55" s="457"/>
      <c r="EW55" s="457"/>
      <c r="EX55" s="457"/>
      <c r="EY55" s="457"/>
      <c r="EZ55" s="457"/>
      <c r="FA55" s="457"/>
      <c r="FB55" s="457"/>
      <c r="FC55" s="457"/>
      <c r="FD55" s="457"/>
      <c r="FE55" s="457"/>
      <c r="FF55" s="457"/>
      <c r="FG55" s="457"/>
      <c r="FH55" s="457"/>
      <c r="FI55" s="457"/>
      <c r="FJ55" s="457"/>
      <c r="FK55" s="457"/>
      <c r="FL55" s="457"/>
      <c r="FM55" s="457"/>
      <c r="FN55" s="457"/>
      <c r="FO55" s="457"/>
      <c r="FP55" s="457"/>
      <c r="FQ55" s="457"/>
      <c r="FR55" s="457"/>
      <c r="FS55" s="457"/>
      <c r="FT55" s="457">
        <f>SUM(FU55:FV55)</f>
        <v>0</v>
      </c>
      <c r="FU55" s="457">
        <f>SUM(FW55:FY55)</f>
        <v>0</v>
      </c>
      <c r="FV55" s="457">
        <f>SUM(FZ55:GG55)</f>
        <v>0</v>
      </c>
      <c r="FW55" s="457"/>
      <c r="FX55" s="457"/>
      <c r="FY55" s="457"/>
      <c r="FZ55" s="457"/>
      <c r="GA55" s="457"/>
      <c r="GB55" s="457"/>
      <c r="GC55" s="457"/>
      <c r="GD55" s="457"/>
      <c r="GE55" s="457"/>
      <c r="GF55" s="457"/>
      <c r="GG55" s="457"/>
      <c r="GH55" s="457"/>
      <c r="GI55" s="453" t="s">
        <v>250</v>
      </c>
      <c r="GJ55" s="455"/>
      <c r="GK55" s="455"/>
      <c r="GL55" s="455"/>
      <c r="GM55" s="455"/>
      <c r="GN55" s="455"/>
    </row>
    <row r="56" spans="1:196" s="456" customFormat="1" ht="15" customHeight="1" hidden="1">
      <c r="A56" s="452"/>
      <c r="B56" s="453" t="s">
        <v>251</v>
      </c>
      <c r="C56" s="457">
        <f>D56+J56+AY56+CD56</f>
        <v>357579111313</v>
      </c>
      <c r="D56" s="457">
        <f>SUM(E56:I56)</f>
        <v>0</v>
      </c>
      <c r="E56" s="457"/>
      <c r="F56" s="457"/>
      <c r="G56" s="457"/>
      <c r="H56" s="457"/>
      <c r="I56" s="457"/>
      <c r="J56" s="457">
        <f>SUM(K56:AX56)</f>
        <v>357579111313</v>
      </c>
      <c r="K56" s="457"/>
      <c r="L56" s="457"/>
      <c r="M56" s="457">
        <f>74156099000+21820249294+282083000+120389533514+15836616453+1153378000+65994506655+9136521897+1346622000</f>
        <v>310115609813</v>
      </c>
      <c r="N56" s="457">
        <f>12953963000+3189037000-546455500</f>
        <v>15596544500</v>
      </c>
      <c r="O56" s="457">
        <v>19396000000</v>
      </c>
      <c r="P56" s="457">
        <f>3978000000+621472000</f>
        <v>4599472000</v>
      </c>
      <c r="Q56" s="457">
        <f>6223480000+623200000</f>
        <v>6846680000</v>
      </c>
      <c r="R56" s="457"/>
      <c r="S56" s="457"/>
      <c r="T56" s="457">
        <v>12805000</v>
      </c>
      <c r="U56" s="457"/>
      <c r="V56" s="457"/>
      <c r="W56" s="457"/>
      <c r="X56" s="457"/>
      <c r="Y56" s="457"/>
      <c r="Z56" s="457"/>
      <c r="AA56" s="457"/>
      <c r="AB56" s="457"/>
      <c r="AC56" s="457"/>
      <c r="AD56" s="457"/>
      <c r="AE56" s="457"/>
      <c r="AF56" s="457"/>
      <c r="AG56" s="457"/>
      <c r="AH56" s="457"/>
      <c r="AI56" s="457"/>
      <c r="AJ56" s="457"/>
      <c r="AK56" s="457"/>
      <c r="AL56" s="457"/>
      <c r="AM56" s="457"/>
      <c r="AN56" s="457"/>
      <c r="AO56" s="457"/>
      <c r="AP56" s="457"/>
      <c r="AQ56" s="457"/>
      <c r="AR56" s="457"/>
      <c r="AS56" s="457"/>
      <c r="AT56" s="457"/>
      <c r="AU56" s="457">
        <v>950000000</v>
      </c>
      <c r="AV56" s="457">
        <v>62000000</v>
      </c>
      <c r="AW56" s="457"/>
      <c r="AX56" s="457"/>
      <c r="AY56" s="457">
        <f>SUM(AZ56:BA56)</f>
        <v>0</v>
      </c>
      <c r="AZ56" s="457">
        <f>SUM(BB56:BI56)+SUM(BQ56:BX56)</f>
        <v>0</v>
      </c>
      <c r="BA56" s="457">
        <f>SUM(BJ56:BP56)+SUM(BY56:CC56)</f>
        <v>0</v>
      </c>
      <c r="BB56" s="457"/>
      <c r="BC56" s="457"/>
      <c r="BD56" s="457"/>
      <c r="BE56" s="457"/>
      <c r="BF56" s="457"/>
      <c r="BG56" s="457"/>
      <c r="BH56" s="457"/>
      <c r="BI56" s="457"/>
      <c r="BJ56" s="457"/>
      <c r="BK56" s="457"/>
      <c r="BL56" s="457"/>
      <c r="BM56" s="457"/>
      <c r="BN56" s="457"/>
      <c r="BO56" s="457"/>
      <c r="BP56" s="457"/>
      <c r="BQ56" s="457"/>
      <c r="BR56" s="457"/>
      <c r="BS56" s="457"/>
      <c r="BT56" s="457"/>
      <c r="BU56" s="457"/>
      <c r="BV56" s="457"/>
      <c r="BW56" s="457"/>
      <c r="BX56" s="457"/>
      <c r="BY56" s="457"/>
      <c r="BZ56" s="457"/>
      <c r="CA56" s="457"/>
      <c r="CB56" s="457"/>
      <c r="CC56" s="457"/>
      <c r="CD56" s="457">
        <f>SUM(CE56:CF56)</f>
        <v>0</v>
      </c>
      <c r="CE56" s="457">
        <f>SUM(CG56:CI56)</f>
        <v>0</v>
      </c>
      <c r="CF56" s="457">
        <f>SUM(CJ56:CQ56)</f>
        <v>0</v>
      </c>
      <c r="CG56" s="457"/>
      <c r="CH56" s="457"/>
      <c r="CI56" s="457"/>
      <c r="CJ56" s="457"/>
      <c r="CK56" s="457"/>
      <c r="CL56" s="457"/>
      <c r="CM56" s="457"/>
      <c r="CN56" s="457"/>
      <c r="CO56" s="457"/>
      <c r="CP56" s="457"/>
      <c r="CQ56" s="457"/>
      <c r="CR56" s="453" t="s">
        <v>251</v>
      </c>
      <c r="CS56" s="457">
        <f>CT56+CZ56+EO56+FT56+GH56</f>
        <v>357579111313</v>
      </c>
      <c r="CT56" s="457">
        <f>SUM(CU56:CY56)</f>
        <v>0</v>
      </c>
      <c r="CU56" s="457"/>
      <c r="CV56" s="457"/>
      <c r="CW56" s="457"/>
      <c r="CX56" s="457"/>
      <c r="CY56" s="457"/>
      <c r="CZ56" s="457">
        <f>SUM(DA56:EN56)</f>
        <v>357529201313</v>
      </c>
      <c r="DA56" s="457"/>
      <c r="DB56" s="457"/>
      <c r="DC56" s="457">
        <v>310115609813</v>
      </c>
      <c r="DD56" s="457">
        <f>12412000000+3184544500</f>
        <v>15596544500</v>
      </c>
      <c r="DE56" s="457">
        <v>19396000000</v>
      </c>
      <c r="DF56" s="457">
        <f>3978000000+588320000</f>
        <v>4566320000</v>
      </c>
      <c r="DG56" s="457">
        <f>6223480000+606442000</f>
        <v>6829922000</v>
      </c>
      <c r="DH56" s="457"/>
      <c r="DI56" s="457"/>
      <c r="DJ56" s="457">
        <v>12805000</v>
      </c>
      <c r="DK56" s="457"/>
      <c r="DL56" s="457"/>
      <c r="DM56" s="457"/>
      <c r="DN56" s="457"/>
      <c r="DO56" s="457"/>
      <c r="DP56" s="457"/>
      <c r="DQ56" s="457"/>
      <c r="DR56" s="457"/>
      <c r="DS56" s="457"/>
      <c r="DT56" s="457"/>
      <c r="DU56" s="457"/>
      <c r="DV56" s="457"/>
      <c r="DW56" s="457"/>
      <c r="DX56" s="457"/>
      <c r="DY56" s="457"/>
      <c r="DZ56" s="457"/>
      <c r="EA56" s="457"/>
      <c r="EB56" s="457"/>
      <c r="EC56" s="457"/>
      <c r="ED56" s="457"/>
      <c r="EE56" s="457"/>
      <c r="EF56" s="457"/>
      <c r="EG56" s="457"/>
      <c r="EH56" s="457"/>
      <c r="EI56" s="457"/>
      <c r="EJ56" s="457"/>
      <c r="EK56" s="457">
        <v>950000000</v>
      </c>
      <c r="EL56" s="457">
        <v>62000000</v>
      </c>
      <c r="EM56" s="457"/>
      <c r="EN56" s="457"/>
      <c r="EO56" s="457">
        <f>SUM(EP56:EQ56)</f>
        <v>0</v>
      </c>
      <c r="EP56" s="457">
        <f>SUM(ER56:EY56)+SUM(FG56:FN56)</f>
        <v>0</v>
      </c>
      <c r="EQ56" s="457">
        <f>SUM(EZ56:FF56)+SUM(FO56:FS56)</f>
        <v>0</v>
      </c>
      <c r="ER56" s="457"/>
      <c r="ES56" s="457"/>
      <c r="ET56" s="457"/>
      <c r="EU56" s="457"/>
      <c r="EV56" s="457"/>
      <c r="EW56" s="457"/>
      <c r="EX56" s="457"/>
      <c r="EY56" s="457"/>
      <c r="EZ56" s="457"/>
      <c r="FA56" s="457"/>
      <c r="FB56" s="457"/>
      <c r="FC56" s="457"/>
      <c r="FD56" s="457"/>
      <c r="FE56" s="457"/>
      <c r="FF56" s="457"/>
      <c r="FG56" s="457"/>
      <c r="FH56" s="457"/>
      <c r="FI56" s="457"/>
      <c r="FJ56" s="457"/>
      <c r="FK56" s="457"/>
      <c r="FL56" s="457"/>
      <c r="FM56" s="457"/>
      <c r="FN56" s="457"/>
      <c r="FO56" s="457"/>
      <c r="FP56" s="457"/>
      <c r="FQ56" s="457"/>
      <c r="FR56" s="457"/>
      <c r="FS56" s="457"/>
      <c r="FT56" s="457">
        <f>SUM(FU56:FV56)</f>
        <v>0</v>
      </c>
      <c r="FU56" s="457">
        <f>SUM(FW56:FY56)</f>
        <v>0</v>
      </c>
      <c r="FV56" s="457">
        <f>SUM(FZ56:GG56)</f>
        <v>0</v>
      </c>
      <c r="FW56" s="457"/>
      <c r="FX56" s="457"/>
      <c r="FY56" s="457"/>
      <c r="FZ56" s="457"/>
      <c r="GA56" s="457"/>
      <c r="GB56" s="457"/>
      <c r="GC56" s="457"/>
      <c r="GD56" s="457"/>
      <c r="GE56" s="457"/>
      <c r="GF56" s="457"/>
      <c r="GG56" s="457"/>
      <c r="GH56" s="457">
        <v>49910000</v>
      </c>
      <c r="GI56" s="453" t="s">
        <v>251</v>
      </c>
      <c r="GJ56" s="455">
        <f>CS56/C56</f>
        <v>1</v>
      </c>
      <c r="GK56" s="455"/>
      <c r="GL56" s="455">
        <f>CZ56/J56</f>
        <v>0.9998604224955514</v>
      </c>
      <c r="GM56" s="455"/>
      <c r="GN56" s="455"/>
    </row>
    <row r="57" spans="1:196" s="456" customFormat="1" ht="15" customHeight="1">
      <c r="A57" s="452">
        <v>15</v>
      </c>
      <c r="B57" s="453" t="s">
        <v>595</v>
      </c>
      <c r="C57" s="457">
        <f aca="true" t="shared" si="90" ref="C57:H57">C58+C59</f>
        <v>1228322300</v>
      </c>
      <c r="D57" s="457">
        <f t="shared" si="90"/>
        <v>0</v>
      </c>
      <c r="E57" s="457">
        <f t="shared" si="90"/>
        <v>0</v>
      </c>
      <c r="F57" s="457">
        <f t="shared" si="90"/>
        <v>0</v>
      </c>
      <c r="G57" s="457">
        <f t="shared" si="90"/>
        <v>0</v>
      </c>
      <c r="H57" s="457">
        <f t="shared" si="90"/>
        <v>0</v>
      </c>
      <c r="I57" s="457">
        <f aca="true" t="shared" si="91" ref="I57:BY57">I58+I59</f>
        <v>0</v>
      </c>
      <c r="J57" s="457">
        <f>J58+J59</f>
        <v>1228322300</v>
      </c>
      <c r="K57" s="457">
        <f t="shared" si="91"/>
        <v>0</v>
      </c>
      <c r="L57" s="457">
        <f>L58+L59</f>
        <v>0</v>
      </c>
      <c r="M57" s="457">
        <f t="shared" si="91"/>
        <v>0</v>
      </c>
      <c r="N57" s="457">
        <f t="shared" si="91"/>
        <v>0</v>
      </c>
      <c r="O57" s="457">
        <f t="shared" si="91"/>
        <v>0</v>
      </c>
      <c r="P57" s="457">
        <f t="shared" si="91"/>
        <v>0</v>
      </c>
      <c r="Q57" s="457">
        <f t="shared" si="91"/>
        <v>0</v>
      </c>
      <c r="R57" s="457">
        <f t="shared" si="91"/>
        <v>0</v>
      </c>
      <c r="S57" s="457">
        <f>S58+S59</f>
        <v>0</v>
      </c>
      <c r="T57" s="457">
        <f t="shared" si="91"/>
        <v>1228322300</v>
      </c>
      <c r="U57" s="457">
        <f t="shared" si="91"/>
        <v>0</v>
      </c>
      <c r="V57" s="457">
        <f>V58+V59</f>
        <v>0</v>
      </c>
      <c r="W57" s="457">
        <f>W58+W59</f>
        <v>0</v>
      </c>
      <c r="X57" s="457">
        <f t="shared" si="91"/>
        <v>0</v>
      </c>
      <c r="Y57" s="457">
        <f t="shared" si="91"/>
        <v>0</v>
      </c>
      <c r="Z57" s="457">
        <f t="shared" si="91"/>
        <v>0</v>
      </c>
      <c r="AA57" s="457">
        <f t="shared" si="91"/>
        <v>0</v>
      </c>
      <c r="AB57" s="457">
        <f t="shared" si="91"/>
        <v>0</v>
      </c>
      <c r="AC57" s="457">
        <f t="shared" si="91"/>
        <v>0</v>
      </c>
      <c r="AD57" s="457">
        <f t="shared" si="91"/>
        <v>0</v>
      </c>
      <c r="AE57" s="457">
        <f t="shared" si="91"/>
        <v>0</v>
      </c>
      <c r="AF57" s="457">
        <f t="shared" si="91"/>
        <v>0</v>
      </c>
      <c r="AG57" s="457">
        <f>AG58+AG59</f>
        <v>0</v>
      </c>
      <c r="AH57" s="457">
        <f t="shared" si="91"/>
        <v>0</v>
      </c>
      <c r="AI57" s="457">
        <f t="shared" si="91"/>
        <v>0</v>
      </c>
      <c r="AJ57" s="457">
        <f t="shared" si="91"/>
        <v>0</v>
      </c>
      <c r="AK57" s="457">
        <f t="shared" si="91"/>
        <v>0</v>
      </c>
      <c r="AL57" s="457">
        <f t="shared" si="91"/>
        <v>0</v>
      </c>
      <c r="AM57" s="457">
        <f t="shared" si="91"/>
        <v>0</v>
      </c>
      <c r="AN57" s="457">
        <f t="shared" si="91"/>
        <v>0</v>
      </c>
      <c r="AO57" s="457">
        <f t="shared" si="91"/>
        <v>0</v>
      </c>
      <c r="AP57" s="457">
        <f t="shared" si="91"/>
        <v>0</v>
      </c>
      <c r="AQ57" s="457">
        <f>AQ58+AQ59</f>
        <v>0</v>
      </c>
      <c r="AR57" s="457">
        <f>AR58+AR59</f>
        <v>0</v>
      </c>
      <c r="AS57" s="457">
        <f t="shared" si="91"/>
        <v>0</v>
      </c>
      <c r="AT57" s="457">
        <f t="shared" si="91"/>
        <v>0</v>
      </c>
      <c r="AU57" s="457">
        <f t="shared" si="91"/>
        <v>0</v>
      </c>
      <c r="AV57" s="457">
        <f>AV58+AV59</f>
        <v>0</v>
      </c>
      <c r="AW57" s="457">
        <f t="shared" si="91"/>
        <v>0</v>
      </c>
      <c r="AX57" s="457">
        <f t="shared" si="91"/>
        <v>0</v>
      </c>
      <c r="AY57" s="457">
        <f>AY58+AY59</f>
        <v>0</v>
      </c>
      <c r="AZ57" s="457">
        <f>AZ58+AZ59</f>
        <v>0</v>
      </c>
      <c r="BA57" s="457">
        <f>BA58+BA59</f>
        <v>0</v>
      </c>
      <c r="BB57" s="457">
        <f t="shared" si="91"/>
        <v>0</v>
      </c>
      <c r="BC57" s="457">
        <f t="shared" si="91"/>
        <v>0</v>
      </c>
      <c r="BD57" s="457">
        <f t="shared" si="91"/>
        <v>0</v>
      </c>
      <c r="BE57" s="457">
        <f t="shared" si="91"/>
        <v>0</v>
      </c>
      <c r="BF57" s="457">
        <f t="shared" si="91"/>
        <v>0</v>
      </c>
      <c r="BG57" s="457">
        <f t="shared" si="91"/>
        <v>0</v>
      </c>
      <c r="BH57" s="457">
        <f t="shared" si="91"/>
        <v>0</v>
      </c>
      <c r="BI57" s="457">
        <f>BI58+BI59</f>
        <v>0</v>
      </c>
      <c r="BJ57" s="457">
        <f t="shared" si="91"/>
        <v>0</v>
      </c>
      <c r="BK57" s="457">
        <f t="shared" si="91"/>
        <v>0</v>
      </c>
      <c r="BL57" s="457">
        <f t="shared" si="91"/>
        <v>0</v>
      </c>
      <c r="BM57" s="457">
        <f t="shared" si="91"/>
        <v>0</v>
      </c>
      <c r="BN57" s="457">
        <f>BN58+BN59</f>
        <v>0</v>
      </c>
      <c r="BO57" s="457">
        <f t="shared" si="91"/>
        <v>0</v>
      </c>
      <c r="BP57" s="457">
        <f t="shared" si="91"/>
        <v>0</v>
      </c>
      <c r="BQ57" s="457">
        <f t="shared" si="91"/>
        <v>0</v>
      </c>
      <c r="BR57" s="457">
        <f t="shared" si="91"/>
        <v>0</v>
      </c>
      <c r="BS57" s="457">
        <f t="shared" si="91"/>
        <v>0</v>
      </c>
      <c r="BT57" s="457">
        <f t="shared" si="91"/>
        <v>0</v>
      </c>
      <c r="BU57" s="457">
        <f t="shared" si="91"/>
        <v>0</v>
      </c>
      <c r="BV57" s="457">
        <f t="shared" si="91"/>
        <v>0</v>
      </c>
      <c r="BW57" s="457">
        <f t="shared" si="91"/>
        <v>0</v>
      </c>
      <c r="BX57" s="457">
        <f t="shared" si="91"/>
        <v>0</v>
      </c>
      <c r="BY57" s="457">
        <f t="shared" si="91"/>
        <v>0</v>
      </c>
      <c r="BZ57" s="457">
        <f aca="true" t="shared" si="92" ref="BZ57:CP57">BZ58+BZ59</f>
        <v>0</v>
      </c>
      <c r="CA57" s="457">
        <f>CA58+CA59</f>
        <v>0</v>
      </c>
      <c r="CB57" s="457">
        <f t="shared" si="92"/>
        <v>0</v>
      </c>
      <c r="CC57" s="457">
        <f t="shared" si="92"/>
        <v>0</v>
      </c>
      <c r="CD57" s="457">
        <f t="shared" si="92"/>
        <v>0</v>
      </c>
      <c r="CE57" s="457">
        <f>CE58+CE59</f>
        <v>0</v>
      </c>
      <c r="CF57" s="457">
        <f>CF58+CF59</f>
        <v>0</v>
      </c>
      <c r="CG57" s="457">
        <f t="shared" si="92"/>
        <v>0</v>
      </c>
      <c r="CH57" s="457">
        <f>CH58+CH59</f>
        <v>0</v>
      </c>
      <c r="CI57" s="457">
        <f>CI58+CI59</f>
        <v>0</v>
      </c>
      <c r="CJ57" s="457">
        <f t="shared" si="92"/>
        <v>0</v>
      </c>
      <c r="CK57" s="457">
        <f t="shared" si="92"/>
        <v>0</v>
      </c>
      <c r="CL57" s="457">
        <f t="shared" si="92"/>
        <v>0</v>
      </c>
      <c r="CM57" s="457">
        <f t="shared" si="92"/>
        <v>0</v>
      </c>
      <c r="CN57" s="457">
        <f t="shared" si="92"/>
        <v>0</v>
      </c>
      <c r="CO57" s="457">
        <f t="shared" si="92"/>
        <v>0</v>
      </c>
      <c r="CP57" s="457">
        <f t="shared" si="92"/>
        <v>0</v>
      </c>
      <c r="CQ57" s="457">
        <f>CQ58+CQ59</f>
        <v>0</v>
      </c>
      <c r="CR57" s="453" t="s">
        <v>595</v>
      </c>
      <c r="CS57" s="457">
        <f>CS58+CS59</f>
        <v>1228322300</v>
      </c>
      <c r="CT57" s="457">
        <f aca="true" t="shared" si="93" ref="CT57:FJ57">CT58+CT59</f>
        <v>0</v>
      </c>
      <c r="CU57" s="457">
        <f t="shared" si="93"/>
        <v>0</v>
      </c>
      <c r="CV57" s="457">
        <f>CV58+CV59</f>
        <v>0</v>
      </c>
      <c r="CW57" s="457">
        <f>CW58+CW59</f>
        <v>0</v>
      </c>
      <c r="CX57" s="457">
        <f>CX58+CX59</f>
        <v>0</v>
      </c>
      <c r="CY57" s="457">
        <f t="shared" si="93"/>
        <v>0</v>
      </c>
      <c r="CZ57" s="457">
        <f t="shared" si="93"/>
        <v>1228322300</v>
      </c>
      <c r="DA57" s="457">
        <f t="shared" si="93"/>
        <v>0</v>
      </c>
      <c r="DB57" s="457">
        <f>DB58+DB59</f>
        <v>0</v>
      </c>
      <c r="DC57" s="457">
        <f t="shared" si="93"/>
        <v>0</v>
      </c>
      <c r="DD57" s="457">
        <f t="shared" si="93"/>
        <v>0</v>
      </c>
      <c r="DE57" s="457">
        <f t="shared" si="93"/>
        <v>0</v>
      </c>
      <c r="DF57" s="457">
        <f t="shared" si="93"/>
        <v>0</v>
      </c>
      <c r="DG57" s="457">
        <f t="shared" si="93"/>
        <v>0</v>
      </c>
      <c r="DH57" s="457">
        <f t="shared" si="93"/>
        <v>0</v>
      </c>
      <c r="DI57" s="457">
        <f>DI58+DI59</f>
        <v>0</v>
      </c>
      <c r="DJ57" s="457">
        <f t="shared" si="93"/>
        <v>1228322300</v>
      </c>
      <c r="DK57" s="457">
        <f t="shared" si="93"/>
        <v>0</v>
      </c>
      <c r="DL57" s="457">
        <f>DL58+DL59</f>
        <v>0</v>
      </c>
      <c r="DM57" s="457">
        <f>DM58+DM59</f>
        <v>0</v>
      </c>
      <c r="DN57" s="457">
        <f t="shared" si="93"/>
        <v>0</v>
      </c>
      <c r="DO57" s="457">
        <f t="shared" si="93"/>
        <v>0</v>
      </c>
      <c r="DP57" s="457">
        <f t="shared" si="93"/>
        <v>0</v>
      </c>
      <c r="DQ57" s="457">
        <f t="shared" si="93"/>
        <v>0</v>
      </c>
      <c r="DR57" s="457">
        <f t="shared" si="93"/>
        <v>0</v>
      </c>
      <c r="DS57" s="457">
        <f t="shared" si="93"/>
        <v>0</v>
      </c>
      <c r="DT57" s="457">
        <f t="shared" si="93"/>
        <v>0</v>
      </c>
      <c r="DU57" s="457">
        <f t="shared" si="93"/>
        <v>0</v>
      </c>
      <c r="DV57" s="457">
        <f t="shared" si="93"/>
        <v>0</v>
      </c>
      <c r="DW57" s="457">
        <f>DW58+DW59</f>
        <v>0</v>
      </c>
      <c r="DX57" s="457">
        <f t="shared" si="93"/>
        <v>0</v>
      </c>
      <c r="DY57" s="457">
        <f t="shared" si="93"/>
        <v>0</v>
      </c>
      <c r="DZ57" s="457">
        <f t="shared" si="93"/>
        <v>0</v>
      </c>
      <c r="EA57" s="457">
        <f t="shared" si="93"/>
        <v>0</v>
      </c>
      <c r="EB57" s="457">
        <f t="shared" si="93"/>
        <v>0</v>
      </c>
      <c r="EC57" s="457">
        <f t="shared" si="93"/>
        <v>0</v>
      </c>
      <c r="ED57" s="457">
        <f t="shared" si="93"/>
        <v>0</v>
      </c>
      <c r="EE57" s="457">
        <f t="shared" si="93"/>
        <v>0</v>
      </c>
      <c r="EF57" s="457">
        <f t="shared" si="93"/>
        <v>0</v>
      </c>
      <c r="EG57" s="457">
        <f>EG58+EG59</f>
        <v>0</v>
      </c>
      <c r="EH57" s="457">
        <f>EH58+EH59</f>
        <v>0</v>
      </c>
      <c r="EI57" s="457">
        <f t="shared" si="93"/>
        <v>0</v>
      </c>
      <c r="EJ57" s="457">
        <f t="shared" si="93"/>
        <v>0</v>
      </c>
      <c r="EK57" s="457">
        <f t="shared" si="93"/>
        <v>0</v>
      </c>
      <c r="EL57" s="457">
        <f>EL58+EL59</f>
        <v>0</v>
      </c>
      <c r="EM57" s="457">
        <f t="shared" si="93"/>
        <v>0</v>
      </c>
      <c r="EN57" s="457">
        <f t="shared" si="93"/>
        <v>0</v>
      </c>
      <c r="EO57" s="457">
        <f t="shared" si="93"/>
        <v>0</v>
      </c>
      <c r="EP57" s="457">
        <f t="shared" si="93"/>
        <v>0</v>
      </c>
      <c r="EQ57" s="457">
        <f t="shared" si="93"/>
        <v>0</v>
      </c>
      <c r="ER57" s="457">
        <f t="shared" si="93"/>
        <v>0</v>
      </c>
      <c r="ES57" s="457">
        <f t="shared" si="93"/>
        <v>0</v>
      </c>
      <c r="ET57" s="457">
        <f t="shared" si="93"/>
        <v>0</v>
      </c>
      <c r="EU57" s="457">
        <f t="shared" si="93"/>
        <v>0</v>
      </c>
      <c r="EV57" s="457">
        <f t="shared" si="93"/>
        <v>0</v>
      </c>
      <c r="EW57" s="457">
        <f t="shared" si="93"/>
        <v>0</v>
      </c>
      <c r="EX57" s="457">
        <f t="shared" si="93"/>
        <v>0</v>
      </c>
      <c r="EY57" s="457">
        <f>EY58+EY59</f>
        <v>0</v>
      </c>
      <c r="EZ57" s="457">
        <f t="shared" si="93"/>
        <v>0</v>
      </c>
      <c r="FA57" s="457">
        <f t="shared" si="93"/>
        <v>0</v>
      </c>
      <c r="FB57" s="457">
        <f t="shared" si="93"/>
        <v>0</v>
      </c>
      <c r="FC57" s="457">
        <f t="shared" si="93"/>
        <v>0</v>
      </c>
      <c r="FD57" s="457">
        <f>FD58+FD59</f>
        <v>0</v>
      </c>
      <c r="FE57" s="457">
        <f t="shared" si="93"/>
        <v>0</v>
      </c>
      <c r="FF57" s="457">
        <f t="shared" si="93"/>
        <v>0</v>
      </c>
      <c r="FG57" s="457">
        <f t="shared" si="93"/>
        <v>0</v>
      </c>
      <c r="FH57" s="457">
        <f t="shared" si="93"/>
        <v>0</v>
      </c>
      <c r="FI57" s="457">
        <f t="shared" si="93"/>
        <v>0</v>
      </c>
      <c r="FJ57" s="457">
        <f t="shared" si="93"/>
        <v>0</v>
      </c>
      <c r="FK57" s="457">
        <f aca="true" t="shared" si="94" ref="FK57:GF57">FK58+FK59</f>
        <v>0</v>
      </c>
      <c r="FL57" s="457">
        <f t="shared" si="94"/>
        <v>0</v>
      </c>
      <c r="FM57" s="457">
        <f t="shared" si="94"/>
        <v>0</v>
      </c>
      <c r="FN57" s="457">
        <f t="shared" si="94"/>
        <v>0</v>
      </c>
      <c r="FO57" s="457">
        <f t="shared" si="94"/>
        <v>0</v>
      </c>
      <c r="FP57" s="457">
        <f t="shared" si="94"/>
        <v>0</v>
      </c>
      <c r="FQ57" s="457">
        <f>FQ58+FQ59</f>
        <v>0</v>
      </c>
      <c r="FR57" s="457">
        <f t="shared" si="94"/>
        <v>0</v>
      </c>
      <c r="FS57" s="457">
        <f t="shared" si="94"/>
        <v>0</v>
      </c>
      <c r="FT57" s="457">
        <f t="shared" si="94"/>
        <v>0</v>
      </c>
      <c r="FU57" s="457">
        <f t="shared" si="94"/>
        <v>0</v>
      </c>
      <c r="FV57" s="457">
        <f t="shared" si="94"/>
        <v>0</v>
      </c>
      <c r="FW57" s="457">
        <f t="shared" si="94"/>
        <v>0</v>
      </c>
      <c r="FX57" s="457">
        <f>FX58+FX59</f>
        <v>0</v>
      </c>
      <c r="FY57" s="457"/>
      <c r="FZ57" s="457">
        <f t="shared" si="94"/>
        <v>0</v>
      </c>
      <c r="GA57" s="457">
        <f t="shared" si="94"/>
        <v>0</v>
      </c>
      <c r="GB57" s="457">
        <f t="shared" si="94"/>
        <v>0</v>
      </c>
      <c r="GC57" s="457">
        <f t="shared" si="94"/>
        <v>0</v>
      </c>
      <c r="GD57" s="457">
        <f t="shared" si="94"/>
        <v>0</v>
      </c>
      <c r="GE57" s="457">
        <f t="shared" si="94"/>
        <v>0</v>
      </c>
      <c r="GF57" s="457">
        <f t="shared" si="94"/>
        <v>0</v>
      </c>
      <c r="GG57" s="457">
        <f>GG58+GG59</f>
        <v>0</v>
      </c>
      <c r="GH57" s="457">
        <f>GH58+GH59</f>
        <v>0</v>
      </c>
      <c r="GI57" s="453" t="s">
        <v>595</v>
      </c>
      <c r="GJ57" s="455">
        <f>CS57/C57</f>
        <v>1</v>
      </c>
      <c r="GK57" s="455"/>
      <c r="GL57" s="455">
        <f>CZ57/J57</f>
        <v>1</v>
      </c>
      <c r="GM57" s="455"/>
      <c r="GN57" s="455"/>
    </row>
    <row r="58" spans="1:196" s="456" customFormat="1" ht="15" customHeight="1" hidden="1">
      <c r="A58" s="452"/>
      <c r="B58" s="453" t="s">
        <v>250</v>
      </c>
      <c r="C58" s="457">
        <f>D58+J58+AY58+CD58</f>
        <v>0</v>
      </c>
      <c r="D58" s="457">
        <f>SUM(E58:I58)</f>
        <v>0</v>
      </c>
      <c r="E58" s="457"/>
      <c r="F58" s="457"/>
      <c r="G58" s="457"/>
      <c r="H58" s="457"/>
      <c r="I58" s="457"/>
      <c r="J58" s="457">
        <f>SUM(K58:AX58)</f>
        <v>0</v>
      </c>
      <c r="K58" s="457"/>
      <c r="L58" s="457"/>
      <c r="M58" s="457"/>
      <c r="N58" s="457"/>
      <c r="O58" s="457"/>
      <c r="P58" s="457"/>
      <c r="Q58" s="457"/>
      <c r="R58" s="457"/>
      <c r="S58" s="457"/>
      <c r="T58" s="457"/>
      <c r="U58" s="457"/>
      <c r="V58" s="457"/>
      <c r="W58" s="457"/>
      <c r="X58" s="457"/>
      <c r="Y58" s="457"/>
      <c r="Z58" s="457"/>
      <c r="AA58" s="457"/>
      <c r="AB58" s="457"/>
      <c r="AC58" s="457"/>
      <c r="AD58" s="457"/>
      <c r="AE58" s="457"/>
      <c r="AF58" s="457"/>
      <c r="AG58" s="457"/>
      <c r="AH58" s="457"/>
      <c r="AI58" s="457"/>
      <c r="AJ58" s="457"/>
      <c r="AK58" s="457"/>
      <c r="AL58" s="457"/>
      <c r="AM58" s="457"/>
      <c r="AN58" s="457"/>
      <c r="AO58" s="457"/>
      <c r="AP58" s="457"/>
      <c r="AQ58" s="457"/>
      <c r="AR58" s="457"/>
      <c r="AS58" s="457"/>
      <c r="AT58" s="457"/>
      <c r="AU58" s="457"/>
      <c r="AV58" s="457"/>
      <c r="AW58" s="457"/>
      <c r="AX58" s="457"/>
      <c r="AY58" s="457">
        <f>SUM(AZ58:BA58)</f>
        <v>0</v>
      </c>
      <c r="AZ58" s="457">
        <f>SUM(BB58:BI58)+SUM(BQ58:BX58)</f>
        <v>0</v>
      </c>
      <c r="BA58" s="457">
        <f>SUM(BJ58:BP58)+SUM(BY58:CC58)</f>
        <v>0</v>
      </c>
      <c r="BB58" s="457"/>
      <c r="BC58" s="457"/>
      <c r="BD58" s="457"/>
      <c r="BE58" s="457"/>
      <c r="BF58" s="457"/>
      <c r="BG58" s="457"/>
      <c r="BH58" s="457"/>
      <c r="BI58" s="457"/>
      <c r="BJ58" s="457"/>
      <c r="BK58" s="457"/>
      <c r="BL58" s="457"/>
      <c r="BM58" s="457"/>
      <c r="BN58" s="457"/>
      <c r="BO58" s="457"/>
      <c r="BP58" s="457"/>
      <c r="BQ58" s="457"/>
      <c r="BR58" s="457"/>
      <c r="BS58" s="457"/>
      <c r="BT58" s="457"/>
      <c r="BU58" s="457"/>
      <c r="BV58" s="457"/>
      <c r="BW58" s="457"/>
      <c r="BX58" s="457"/>
      <c r="BY58" s="457"/>
      <c r="BZ58" s="457"/>
      <c r="CA58" s="457"/>
      <c r="CB58" s="457"/>
      <c r="CC58" s="457"/>
      <c r="CD58" s="457">
        <f>SUM(CE58:CF58)</f>
        <v>0</v>
      </c>
      <c r="CE58" s="457">
        <f>SUM(CG58:CI58)</f>
        <v>0</v>
      </c>
      <c r="CF58" s="457">
        <f>SUM(CJ58:CQ58)</f>
        <v>0</v>
      </c>
      <c r="CG58" s="457"/>
      <c r="CH58" s="457"/>
      <c r="CI58" s="457"/>
      <c r="CJ58" s="457"/>
      <c r="CK58" s="457"/>
      <c r="CL58" s="457"/>
      <c r="CM58" s="457"/>
      <c r="CN58" s="457"/>
      <c r="CO58" s="457"/>
      <c r="CP58" s="457"/>
      <c r="CQ58" s="457"/>
      <c r="CR58" s="453" t="s">
        <v>250</v>
      </c>
      <c r="CS58" s="457">
        <f>CT58+CZ58+EO58+FT58+GH58</f>
        <v>0</v>
      </c>
      <c r="CT58" s="457">
        <f>SUM(CU58:CY58)</f>
        <v>0</v>
      </c>
      <c r="CU58" s="457"/>
      <c r="CV58" s="457"/>
      <c r="CW58" s="457"/>
      <c r="CX58" s="457"/>
      <c r="CY58" s="457"/>
      <c r="CZ58" s="457">
        <f>SUM(DA58:EN58)</f>
        <v>0</v>
      </c>
      <c r="DA58" s="457"/>
      <c r="DB58" s="457"/>
      <c r="DC58" s="457"/>
      <c r="DD58" s="457"/>
      <c r="DE58" s="457"/>
      <c r="DF58" s="457"/>
      <c r="DG58" s="457"/>
      <c r="DH58" s="457"/>
      <c r="DI58" s="457"/>
      <c r="DJ58" s="457"/>
      <c r="DK58" s="457"/>
      <c r="DL58" s="457"/>
      <c r="DM58" s="457"/>
      <c r="DN58" s="457"/>
      <c r="DO58" s="457"/>
      <c r="DP58" s="457"/>
      <c r="DQ58" s="457"/>
      <c r="DR58" s="457"/>
      <c r="DS58" s="457"/>
      <c r="DT58" s="457"/>
      <c r="DU58" s="457"/>
      <c r="DV58" s="457"/>
      <c r="DW58" s="457"/>
      <c r="DX58" s="457"/>
      <c r="DY58" s="457"/>
      <c r="DZ58" s="457"/>
      <c r="EA58" s="457"/>
      <c r="EB58" s="457"/>
      <c r="EC58" s="457"/>
      <c r="ED58" s="457"/>
      <c r="EE58" s="457"/>
      <c r="EF58" s="457"/>
      <c r="EG58" s="457"/>
      <c r="EH58" s="457"/>
      <c r="EI58" s="457"/>
      <c r="EJ58" s="457"/>
      <c r="EK58" s="457"/>
      <c r="EL58" s="457"/>
      <c r="EM58" s="457"/>
      <c r="EN58" s="457"/>
      <c r="EO58" s="457">
        <f>SUM(EP58:EQ58)</f>
        <v>0</v>
      </c>
      <c r="EP58" s="457">
        <f>SUM(ER58:EY58)+SUM(FG58:FN58)</f>
        <v>0</v>
      </c>
      <c r="EQ58" s="457">
        <f>SUM(EZ58:FF58)+SUM(FO58:FS58)</f>
        <v>0</v>
      </c>
      <c r="ER58" s="457"/>
      <c r="ES58" s="457"/>
      <c r="ET58" s="457"/>
      <c r="EU58" s="457"/>
      <c r="EV58" s="457"/>
      <c r="EW58" s="457"/>
      <c r="EX58" s="457"/>
      <c r="EY58" s="457"/>
      <c r="EZ58" s="457"/>
      <c r="FA58" s="457"/>
      <c r="FB58" s="457"/>
      <c r="FC58" s="457"/>
      <c r="FD58" s="457"/>
      <c r="FE58" s="457"/>
      <c r="FF58" s="457"/>
      <c r="FG58" s="457"/>
      <c r="FH58" s="457"/>
      <c r="FI58" s="457"/>
      <c r="FJ58" s="457"/>
      <c r="FK58" s="457"/>
      <c r="FL58" s="457"/>
      <c r="FM58" s="457"/>
      <c r="FN58" s="457"/>
      <c r="FO58" s="457"/>
      <c r="FP58" s="457"/>
      <c r="FQ58" s="457"/>
      <c r="FR58" s="457"/>
      <c r="FS58" s="457"/>
      <c r="FT58" s="457">
        <f>SUM(FU58:FV58)</f>
        <v>0</v>
      </c>
      <c r="FU58" s="457">
        <f>SUM(FW58:FY58)</f>
        <v>0</v>
      </c>
      <c r="FV58" s="457">
        <f>SUM(FZ58:GG58)</f>
        <v>0</v>
      </c>
      <c r="FW58" s="457"/>
      <c r="FX58" s="457"/>
      <c r="FY58" s="457"/>
      <c r="FZ58" s="457"/>
      <c r="GA58" s="457"/>
      <c r="GB58" s="457"/>
      <c r="GC58" s="457"/>
      <c r="GD58" s="457"/>
      <c r="GE58" s="457"/>
      <c r="GF58" s="457"/>
      <c r="GG58" s="457"/>
      <c r="GH58" s="457"/>
      <c r="GI58" s="453" t="s">
        <v>250</v>
      </c>
      <c r="GJ58" s="455"/>
      <c r="GK58" s="455"/>
      <c r="GL58" s="455"/>
      <c r="GM58" s="455"/>
      <c r="GN58" s="455"/>
    </row>
    <row r="59" spans="1:196" s="456" customFormat="1" ht="15" customHeight="1" hidden="1">
      <c r="A59" s="452"/>
      <c r="B59" s="453" t="s">
        <v>251</v>
      </c>
      <c r="C59" s="457">
        <f>D59+J59+AY59+CD59</f>
        <v>1228322300</v>
      </c>
      <c r="D59" s="457">
        <f>SUM(E59:I59)</f>
        <v>0</v>
      </c>
      <c r="E59" s="457"/>
      <c r="F59" s="457"/>
      <c r="G59" s="457"/>
      <c r="H59" s="457"/>
      <c r="I59" s="457"/>
      <c r="J59" s="457">
        <f>SUM(K59:AX59)</f>
        <v>1228322300</v>
      </c>
      <c r="K59" s="457"/>
      <c r="L59" s="457"/>
      <c r="M59" s="457"/>
      <c r="N59" s="457"/>
      <c r="O59" s="457"/>
      <c r="P59" s="457"/>
      <c r="Q59" s="457"/>
      <c r="R59" s="457"/>
      <c r="S59" s="457"/>
      <c r="T59" s="457">
        <f>1333265000-104942700</f>
        <v>1228322300</v>
      </c>
      <c r="U59" s="457"/>
      <c r="V59" s="457"/>
      <c r="W59" s="457"/>
      <c r="X59" s="457"/>
      <c r="Y59" s="457"/>
      <c r="Z59" s="457"/>
      <c r="AA59" s="457"/>
      <c r="AB59" s="457"/>
      <c r="AC59" s="457"/>
      <c r="AD59" s="457"/>
      <c r="AE59" s="457"/>
      <c r="AF59" s="457"/>
      <c r="AG59" s="457"/>
      <c r="AH59" s="457"/>
      <c r="AI59" s="457"/>
      <c r="AJ59" s="457"/>
      <c r="AK59" s="457"/>
      <c r="AL59" s="457"/>
      <c r="AM59" s="457"/>
      <c r="AN59" s="457"/>
      <c r="AO59" s="457"/>
      <c r="AP59" s="457"/>
      <c r="AQ59" s="457"/>
      <c r="AR59" s="457"/>
      <c r="AS59" s="457"/>
      <c r="AT59" s="457"/>
      <c r="AU59" s="457"/>
      <c r="AV59" s="457"/>
      <c r="AW59" s="457"/>
      <c r="AX59" s="457"/>
      <c r="AY59" s="457">
        <f>SUM(AZ59:BA59)</f>
        <v>0</v>
      </c>
      <c r="AZ59" s="457">
        <f>SUM(BB59:BI59)+SUM(BQ59:BX59)</f>
        <v>0</v>
      </c>
      <c r="BA59" s="457">
        <f>SUM(BJ59:BP59)+SUM(BY59:CC59)</f>
        <v>0</v>
      </c>
      <c r="BB59" s="457"/>
      <c r="BC59" s="457"/>
      <c r="BD59" s="457"/>
      <c r="BE59" s="457"/>
      <c r="BF59" s="457"/>
      <c r="BG59" s="457"/>
      <c r="BH59" s="457"/>
      <c r="BI59" s="457"/>
      <c r="BJ59" s="457"/>
      <c r="BK59" s="457"/>
      <c r="BL59" s="457"/>
      <c r="BM59" s="457"/>
      <c r="BN59" s="457"/>
      <c r="BO59" s="457"/>
      <c r="BP59" s="457"/>
      <c r="BQ59" s="457"/>
      <c r="BR59" s="457"/>
      <c r="BS59" s="457"/>
      <c r="BT59" s="457"/>
      <c r="BU59" s="457"/>
      <c r="BV59" s="457"/>
      <c r="BW59" s="457"/>
      <c r="BX59" s="457"/>
      <c r="BY59" s="457"/>
      <c r="BZ59" s="457"/>
      <c r="CA59" s="457"/>
      <c r="CB59" s="457"/>
      <c r="CC59" s="457"/>
      <c r="CD59" s="457">
        <f>SUM(CE59:CF59)</f>
        <v>0</v>
      </c>
      <c r="CE59" s="457">
        <f>SUM(CG59:CI59)</f>
        <v>0</v>
      </c>
      <c r="CF59" s="457">
        <f>SUM(CJ59:CQ59)</f>
        <v>0</v>
      </c>
      <c r="CG59" s="457"/>
      <c r="CH59" s="457"/>
      <c r="CI59" s="457"/>
      <c r="CJ59" s="457"/>
      <c r="CK59" s="457"/>
      <c r="CL59" s="457"/>
      <c r="CM59" s="457"/>
      <c r="CN59" s="457"/>
      <c r="CO59" s="457"/>
      <c r="CP59" s="457"/>
      <c r="CQ59" s="457"/>
      <c r="CR59" s="453" t="s">
        <v>251</v>
      </c>
      <c r="CS59" s="457">
        <f>CT59+CZ59+EO59+FT59+GH59</f>
        <v>1228322300</v>
      </c>
      <c r="CT59" s="457">
        <f>SUM(CU59:CY59)</f>
        <v>0</v>
      </c>
      <c r="CU59" s="457"/>
      <c r="CV59" s="457"/>
      <c r="CW59" s="457"/>
      <c r="CX59" s="457"/>
      <c r="CY59" s="457"/>
      <c r="CZ59" s="457">
        <f>SUM(DA59:EN59)</f>
        <v>1228322300</v>
      </c>
      <c r="DA59" s="457"/>
      <c r="DB59" s="457"/>
      <c r="DC59" s="457"/>
      <c r="DD59" s="457"/>
      <c r="DE59" s="457"/>
      <c r="DF59" s="457"/>
      <c r="DG59" s="457"/>
      <c r="DH59" s="457"/>
      <c r="DI59" s="457"/>
      <c r="DJ59" s="457">
        <v>1228322300</v>
      </c>
      <c r="DK59" s="457"/>
      <c r="DL59" s="457"/>
      <c r="DM59" s="457"/>
      <c r="DN59" s="457"/>
      <c r="DO59" s="457"/>
      <c r="DP59" s="457"/>
      <c r="DQ59" s="457"/>
      <c r="DR59" s="457"/>
      <c r="DS59" s="457"/>
      <c r="DT59" s="457"/>
      <c r="DU59" s="457"/>
      <c r="DV59" s="457"/>
      <c r="DW59" s="457"/>
      <c r="DX59" s="457"/>
      <c r="DY59" s="457"/>
      <c r="DZ59" s="457"/>
      <c r="EA59" s="457"/>
      <c r="EB59" s="457"/>
      <c r="EC59" s="457"/>
      <c r="ED59" s="457"/>
      <c r="EE59" s="457"/>
      <c r="EF59" s="457"/>
      <c r="EG59" s="457"/>
      <c r="EH59" s="457"/>
      <c r="EI59" s="457"/>
      <c r="EJ59" s="457"/>
      <c r="EK59" s="457"/>
      <c r="EL59" s="457"/>
      <c r="EM59" s="457"/>
      <c r="EN59" s="457"/>
      <c r="EO59" s="457">
        <f>SUM(EP59:EQ59)</f>
        <v>0</v>
      </c>
      <c r="EP59" s="457">
        <f>SUM(ER59:EY59)+SUM(FG59:FN59)</f>
        <v>0</v>
      </c>
      <c r="EQ59" s="457">
        <f>SUM(EZ59:FF59)+SUM(FO59:FS59)</f>
        <v>0</v>
      </c>
      <c r="ER59" s="457"/>
      <c r="ES59" s="457"/>
      <c r="ET59" s="457"/>
      <c r="EU59" s="457"/>
      <c r="EV59" s="457"/>
      <c r="EW59" s="457"/>
      <c r="EX59" s="457"/>
      <c r="EY59" s="457"/>
      <c r="EZ59" s="457"/>
      <c r="FA59" s="457"/>
      <c r="FB59" s="457"/>
      <c r="FC59" s="457"/>
      <c r="FD59" s="457"/>
      <c r="FE59" s="457"/>
      <c r="FF59" s="457"/>
      <c r="FG59" s="457"/>
      <c r="FH59" s="457"/>
      <c r="FI59" s="457"/>
      <c r="FJ59" s="457"/>
      <c r="FK59" s="457"/>
      <c r="FL59" s="457"/>
      <c r="FM59" s="457"/>
      <c r="FN59" s="457"/>
      <c r="FO59" s="457"/>
      <c r="FP59" s="457"/>
      <c r="FQ59" s="457"/>
      <c r="FR59" s="457"/>
      <c r="FS59" s="457"/>
      <c r="FT59" s="457">
        <f>SUM(FU59:FV59)</f>
        <v>0</v>
      </c>
      <c r="FU59" s="457">
        <f>SUM(FW59:FY59)</f>
        <v>0</v>
      </c>
      <c r="FV59" s="457">
        <f>SUM(FZ59:GG59)</f>
        <v>0</v>
      </c>
      <c r="FW59" s="457"/>
      <c r="FX59" s="457"/>
      <c r="FY59" s="457"/>
      <c r="FZ59" s="457"/>
      <c r="GA59" s="457"/>
      <c r="GB59" s="457"/>
      <c r="GC59" s="457"/>
      <c r="GD59" s="457"/>
      <c r="GE59" s="457"/>
      <c r="GF59" s="457"/>
      <c r="GG59" s="457"/>
      <c r="GH59" s="457"/>
      <c r="GI59" s="453" t="s">
        <v>251</v>
      </c>
      <c r="GJ59" s="455">
        <f>CS59/C59</f>
        <v>1</v>
      </c>
      <c r="GK59" s="455"/>
      <c r="GL59" s="455">
        <f>CZ59/J59</f>
        <v>1</v>
      </c>
      <c r="GM59" s="455"/>
      <c r="GN59" s="455"/>
    </row>
    <row r="60" spans="1:196" s="456" customFormat="1" ht="15" customHeight="1">
      <c r="A60" s="452">
        <v>16</v>
      </c>
      <c r="B60" s="453" t="s">
        <v>264</v>
      </c>
      <c r="C60" s="457">
        <f aca="true" t="shared" si="95" ref="C60:H60">C61+C62</f>
        <v>777698300</v>
      </c>
      <c r="D60" s="457">
        <f t="shared" si="95"/>
        <v>0</v>
      </c>
      <c r="E60" s="457">
        <f t="shared" si="95"/>
        <v>0</v>
      </c>
      <c r="F60" s="457">
        <f t="shared" si="95"/>
        <v>0</v>
      </c>
      <c r="G60" s="457">
        <f t="shared" si="95"/>
        <v>0</v>
      </c>
      <c r="H60" s="457">
        <f t="shared" si="95"/>
        <v>0</v>
      </c>
      <c r="I60" s="457">
        <f aca="true" t="shared" si="96" ref="I60:BY60">I61+I62</f>
        <v>0</v>
      </c>
      <c r="J60" s="457">
        <f>J61+J62</f>
        <v>777698300</v>
      </c>
      <c r="K60" s="457">
        <f t="shared" si="96"/>
        <v>0</v>
      </c>
      <c r="L60" s="457">
        <f>L61+L62</f>
        <v>0</v>
      </c>
      <c r="M60" s="457">
        <f t="shared" si="96"/>
        <v>0</v>
      </c>
      <c r="N60" s="457">
        <f t="shared" si="96"/>
        <v>0</v>
      </c>
      <c r="O60" s="457">
        <f t="shared" si="96"/>
        <v>0</v>
      </c>
      <c r="P60" s="457">
        <f t="shared" si="96"/>
        <v>0</v>
      </c>
      <c r="Q60" s="457">
        <f t="shared" si="96"/>
        <v>0</v>
      </c>
      <c r="R60" s="457">
        <f t="shared" si="96"/>
        <v>0</v>
      </c>
      <c r="S60" s="457">
        <f>S61+S62</f>
        <v>0</v>
      </c>
      <c r="T60" s="457">
        <f t="shared" si="96"/>
        <v>9198300</v>
      </c>
      <c r="U60" s="457">
        <f t="shared" si="96"/>
        <v>0</v>
      </c>
      <c r="V60" s="457">
        <f>V61+V62</f>
        <v>0</v>
      </c>
      <c r="W60" s="457">
        <f>W61+W62</f>
        <v>0</v>
      </c>
      <c r="X60" s="457">
        <f t="shared" si="96"/>
        <v>0</v>
      </c>
      <c r="Y60" s="457">
        <f t="shared" si="96"/>
        <v>0</v>
      </c>
      <c r="Z60" s="457">
        <f t="shared" si="96"/>
        <v>0</v>
      </c>
      <c r="AA60" s="457">
        <f t="shared" si="96"/>
        <v>0</v>
      </c>
      <c r="AB60" s="457">
        <f t="shared" si="96"/>
        <v>0</v>
      </c>
      <c r="AC60" s="457">
        <f t="shared" si="96"/>
        <v>0</v>
      </c>
      <c r="AD60" s="457">
        <f t="shared" si="96"/>
        <v>0</v>
      </c>
      <c r="AE60" s="457">
        <f t="shared" si="96"/>
        <v>0</v>
      </c>
      <c r="AF60" s="457">
        <f t="shared" si="96"/>
        <v>0</v>
      </c>
      <c r="AG60" s="457">
        <f>AG61+AG62</f>
        <v>0</v>
      </c>
      <c r="AH60" s="457">
        <f t="shared" si="96"/>
        <v>0</v>
      </c>
      <c r="AI60" s="457">
        <f t="shared" si="96"/>
        <v>0</v>
      </c>
      <c r="AJ60" s="457">
        <f t="shared" si="96"/>
        <v>0</v>
      </c>
      <c r="AK60" s="457">
        <f t="shared" si="96"/>
        <v>0</v>
      </c>
      <c r="AL60" s="457">
        <f t="shared" si="96"/>
        <v>0</v>
      </c>
      <c r="AM60" s="457">
        <f t="shared" si="96"/>
        <v>0</v>
      </c>
      <c r="AN60" s="457">
        <f t="shared" si="96"/>
        <v>0</v>
      </c>
      <c r="AO60" s="457">
        <f t="shared" si="96"/>
        <v>0</v>
      </c>
      <c r="AP60" s="457">
        <f t="shared" si="96"/>
        <v>0</v>
      </c>
      <c r="AQ60" s="457">
        <f>AQ61+AQ62</f>
        <v>0</v>
      </c>
      <c r="AR60" s="457">
        <f>AR61+AR62</f>
        <v>768500000</v>
      </c>
      <c r="AS60" s="457">
        <f t="shared" si="96"/>
        <v>0</v>
      </c>
      <c r="AT60" s="457">
        <f t="shared" si="96"/>
        <v>0</v>
      </c>
      <c r="AU60" s="457">
        <f t="shared" si="96"/>
        <v>0</v>
      </c>
      <c r="AV60" s="457">
        <f>AV61+AV62</f>
        <v>0</v>
      </c>
      <c r="AW60" s="457">
        <f t="shared" si="96"/>
        <v>0</v>
      </c>
      <c r="AX60" s="457">
        <f t="shared" si="96"/>
        <v>0</v>
      </c>
      <c r="AY60" s="457">
        <f>AY61+AY62</f>
        <v>0</v>
      </c>
      <c r="AZ60" s="457">
        <f>AZ61+AZ62</f>
        <v>0</v>
      </c>
      <c r="BA60" s="457">
        <f>BA61+BA62</f>
        <v>0</v>
      </c>
      <c r="BB60" s="457">
        <f t="shared" si="96"/>
        <v>0</v>
      </c>
      <c r="BC60" s="457">
        <f t="shared" si="96"/>
        <v>0</v>
      </c>
      <c r="BD60" s="457">
        <f t="shared" si="96"/>
        <v>0</v>
      </c>
      <c r="BE60" s="457">
        <f t="shared" si="96"/>
        <v>0</v>
      </c>
      <c r="BF60" s="457">
        <f t="shared" si="96"/>
        <v>0</v>
      </c>
      <c r="BG60" s="457">
        <f t="shared" si="96"/>
        <v>0</v>
      </c>
      <c r="BH60" s="457">
        <f t="shared" si="96"/>
        <v>0</v>
      </c>
      <c r="BI60" s="457">
        <f>BI61+BI62</f>
        <v>0</v>
      </c>
      <c r="BJ60" s="457">
        <f t="shared" si="96"/>
        <v>0</v>
      </c>
      <c r="BK60" s="457">
        <f t="shared" si="96"/>
        <v>0</v>
      </c>
      <c r="BL60" s="457">
        <f t="shared" si="96"/>
        <v>0</v>
      </c>
      <c r="BM60" s="457">
        <f t="shared" si="96"/>
        <v>0</v>
      </c>
      <c r="BN60" s="457">
        <f>BN61+BN62</f>
        <v>0</v>
      </c>
      <c r="BO60" s="457">
        <f t="shared" si="96"/>
        <v>0</v>
      </c>
      <c r="BP60" s="457">
        <f t="shared" si="96"/>
        <v>0</v>
      </c>
      <c r="BQ60" s="457">
        <f t="shared" si="96"/>
        <v>0</v>
      </c>
      <c r="BR60" s="457">
        <f t="shared" si="96"/>
        <v>0</v>
      </c>
      <c r="BS60" s="457">
        <f t="shared" si="96"/>
        <v>0</v>
      </c>
      <c r="BT60" s="457">
        <f t="shared" si="96"/>
        <v>0</v>
      </c>
      <c r="BU60" s="457">
        <f t="shared" si="96"/>
        <v>0</v>
      </c>
      <c r="BV60" s="457">
        <f t="shared" si="96"/>
        <v>0</v>
      </c>
      <c r="BW60" s="457">
        <f t="shared" si="96"/>
        <v>0</v>
      </c>
      <c r="BX60" s="457">
        <f t="shared" si="96"/>
        <v>0</v>
      </c>
      <c r="BY60" s="457">
        <f t="shared" si="96"/>
        <v>0</v>
      </c>
      <c r="BZ60" s="457">
        <f aca="true" t="shared" si="97" ref="BZ60:CP60">BZ61+BZ62</f>
        <v>0</v>
      </c>
      <c r="CA60" s="457">
        <f>CA61+CA62</f>
        <v>0</v>
      </c>
      <c r="CB60" s="457">
        <f t="shared" si="97"/>
        <v>0</v>
      </c>
      <c r="CC60" s="457">
        <f t="shared" si="97"/>
        <v>0</v>
      </c>
      <c r="CD60" s="457">
        <f t="shared" si="97"/>
        <v>0</v>
      </c>
      <c r="CE60" s="457">
        <f>CE61+CE62</f>
        <v>0</v>
      </c>
      <c r="CF60" s="457">
        <f>CF61+CF62</f>
        <v>0</v>
      </c>
      <c r="CG60" s="457">
        <f t="shared" si="97"/>
        <v>0</v>
      </c>
      <c r="CH60" s="457">
        <f>CH61+CH62</f>
        <v>0</v>
      </c>
      <c r="CI60" s="457">
        <f>CI61+CI62</f>
        <v>0</v>
      </c>
      <c r="CJ60" s="457">
        <f t="shared" si="97"/>
        <v>0</v>
      </c>
      <c r="CK60" s="457">
        <f t="shared" si="97"/>
        <v>0</v>
      </c>
      <c r="CL60" s="457">
        <f t="shared" si="97"/>
        <v>0</v>
      </c>
      <c r="CM60" s="457">
        <f t="shared" si="97"/>
        <v>0</v>
      </c>
      <c r="CN60" s="457">
        <f t="shared" si="97"/>
        <v>0</v>
      </c>
      <c r="CO60" s="457">
        <f t="shared" si="97"/>
        <v>0</v>
      </c>
      <c r="CP60" s="457">
        <f t="shared" si="97"/>
        <v>0</v>
      </c>
      <c r="CQ60" s="457">
        <f>CQ61+CQ62</f>
        <v>0</v>
      </c>
      <c r="CR60" s="453" t="s">
        <v>264</v>
      </c>
      <c r="CS60" s="457">
        <f>CS61+CS62</f>
        <v>767643300</v>
      </c>
      <c r="CT60" s="457">
        <f aca="true" t="shared" si="98" ref="CT60:FJ60">CT61+CT62</f>
        <v>0</v>
      </c>
      <c r="CU60" s="457">
        <f t="shared" si="98"/>
        <v>0</v>
      </c>
      <c r="CV60" s="457">
        <f>CV61+CV62</f>
        <v>0</v>
      </c>
      <c r="CW60" s="457">
        <f>CW61+CW62</f>
        <v>0</v>
      </c>
      <c r="CX60" s="457">
        <f>CX61+CX62</f>
        <v>0</v>
      </c>
      <c r="CY60" s="457">
        <f t="shared" si="98"/>
        <v>0</v>
      </c>
      <c r="CZ60" s="457">
        <f t="shared" si="98"/>
        <v>767643300</v>
      </c>
      <c r="DA60" s="457">
        <f t="shared" si="98"/>
        <v>0</v>
      </c>
      <c r="DB60" s="457">
        <f>DB61+DB62</f>
        <v>0</v>
      </c>
      <c r="DC60" s="457">
        <f t="shared" si="98"/>
        <v>0</v>
      </c>
      <c r="DD60" s="457">
        <f t="shared" si="98"/>
        <v>0</v>
      </c>
      <c r="DE60" s="457">
        <f t="shared" si="98"/>
        <v>0</v>
      </c>
      <c r="DF60" s="457">
        <f t="shared" si="98"/>
        <v>0</v>
      </c>
      <c r="DG60" s="457">
        <f t="shared" si="98"/>
        <v>0</v>
      </c>
      <c r="DH60" s="457">
        <f t="shared" si="98"/>
        <v>0</v>
      </c>
      <c r="DI60" s="457">
        <f>DI61+DI62</f>
        <v>0</v>
      </c>
      <c r="DJ60" s="457">
        <f t="shared" si="98"/>
        <v>9198300</v>
      </c>
      <c r="DK60" s="457">
        <f t="shared" si="98"/>
        <v>0</v>
      </c>
      <c r="DL60" s="457">
        <f>DL61+DL62</f>
        <v>0</v>
      </c>
      <c r="DM60" s="457">
        <f>DM61+DM62</f>
        <v>0</v>
      </c>
      <c r="DN60" s="457">
        <f t="shared" si="98"/>
        <v>0</v>
      </c>
      <c r="DO60" s="457">
        <f t="shared" si="98"/>
        <v>0</v>
      </c>
      <c r="DP60" s="457">
        <f t="shared" si="98"/>
        <v>0</v>
      </c>
      <c r="DQ60" s="457">
        <f t="shared" si="98"/>
        <v>0</v>
      </c>
      <c r="DR60" s="457">
        <f t="shared" si="98"/>
        <v>0</v>
      </c>
      <c r="DS60" s="457">
        <f t="shared" si="98"/>
        <v>0</v>
      </c>
      <c r="DT60" s="457">
        <f t="shared" si="98"/>
        <v>0</v>
      </c>
      <c r="DU60" s="457">
        <f t="shared" si="98"/>
        <v>0</v>
      </c>
      <c r="DV60" s="457">
        <f t="shared" si="98"/>
        <v>0</v>
      </c>
      <c r="DW60" s="457">
        <f>DW61+DW62</f>
        <v>0</v>
      </c>
      <c r="DX60" s="457">
        <f t="shared" si="98"/>
        <v>0</v>
      </c>
      <c r="DY60" s="457">
        <f t="shared" si="98"/>
        <v>0</v>
      </c>
      <c r="DZ60" s="457">
        <f t="shared" si="98"/>
        <v>0</v>
      </c>
      <c r="EA60" s="457">
        <f t="shared" si="98"/>
        <v>0</v>
      </c>
      <c r="EB60" s="457">
        <f t="shared" si="98"/>
        <v>0</v>
      </c>
      <c r="EC60" s="457">
        <f t="shared" si="98"/>
        <v>0</v>
      </c>
      <c r="ED60" s="457">
        <f t="shared" si="98"/>
        <v>0</v>
      </c>
      <c r="EE60" s="457">
        <f t="shared" si="98"/>
        <v>0</v>
      </c>
      <c r="EF60" s="457">
        <f t="shared" si="98"/>
        <v>0</v>
      </c>
      <c r="EG60" s="457">
        <f>EG61+EG62</f>
        <v>0</v>
      </c>
      <c r="EH60" s="457">
        <f>EH61+EH62</f>
        <v>758445000</v>
      </c>
      <c r="EI60" s="457">
        <f t="shared" si="98"/>
        <v>0</v>
      </c>
      <c r="EJ60" s="457">
        <f t="shared" si="98"/>
        <v>0</v>
      </c>
      <c r="EK60" s="457">
        <f t="shared" si="98"/>
        <v>0</v>
      </c>
      <c r="EL60" s="457">
        <f>EL61+EL62</f>
        <v>0</v>
      </c>
      <c r="EM60" s="457">
        <f t="shared" si="98"/>
        <v>0</v>
      </c>
      <c r="EN60" s="457">
        <f t="shared" si="98"/>
        <v>0</v>
      </c>
      <c r="EO60" s="457">
        <f t="shared" si="98"/>
        <v>0</v>
      </c>
      <c r="EP60" s="457">
        <f t="shared" si="98"/>
        <v>0</v>
      </c>
      <c r="EQ60" s="457">
        <f t="shared" si="98"/>
        <v>0</v>
      </c>
      <c r="ER60" s="457">
        <f t="shared" si="98"/>
        <v>0</v>
      </c>
      <c r="ES60" s="457">
        <f t="shared" si="98"/>
        <v>0</v>
      </c>
      <c r="ET60" s="457">
        <f t="shared" si="98"/>
        <v>0</v>
      </c>
      <c r="EU60" s="457">
        <f t="shared" si="98"/>
        <v>0</v>
      </c>
      <c r="EV60" s="457">
        <f t="shared" si="98"/>
        <v>0</v>
      </c>
      <c r="EW60" s="457">
        <f t="shared" si="98"/>
        <v>0</v>
      </c>
      <c r="EX60" s="457">
        <f t="shared" si="98"/>
        <v>0</v>
      </c>
      <c r="EY60" s="457">
        <f>EY61+EY62</f>
        <v>0</v>
      </c>
      <c r="EZ60" s="457">
        <f t="shared" si="98"/>
        <v>0</v>
      </c>
      <c r="FA60" s="457">
        <f t="shared" si="98"/>
        <v>0</v>
      </c>
      <c r="FB60" s="457">
        <f t="shared" si="98"/>
        <v>0</v>
      </c>
      <c r="FC60" s="457">
        <f t="shared" si="98"/>
        <v>0</v>
      </c>
      <c r="FD60" s="457">
        <f>FD61+FD62</f>
        <v>0</v>
      </c>
      <c r="FE60" s="457">
        <f t="shared" si="98"/>
        <v>0</v>
      </c>
      <c r="FF60" s="457">
        <f t="shared" si="98"/>
        <v>0</v>
      </c>
      <c r="FG60" s="457">
        <f t="shared" si="98"/>
        <v>0</v>
      </c>
      <c r="FH60" s="457">
        <f t="shared" si="98"/>
        <v>0</v>
      </c>
      <c r="FI60" s="457">
        <f t="shared" si="98"/>
        <v>0</v>
      </c>
      <c r="FJ60" s="457">
        <f t="shared" si="98"/>
        <v>0</v>
      </c>
      <c r="FK60" s="457">
        <f aca="true" t="shared" si="99" ref="FK60:GF60">FK61+FK62</f>
        <v>0</v>
      </c>
      <c r="FL60" s="457">
        <f t="shared" si="99"/>
        <v>0</v>
      </c>
      <c r="FM60" s="457">
        <f t="shared" si="99"/>
        <v>0</v>
      </c>
      <c r="FN60" s="457">
        <f t="shared" si="99"/>
        <v>0</v>
      </c>
      <c r="FO60" s="457">
        <f t="shared" si="99"/>
        <v>0</v>
      </c>
      <c r="FP60" s="457">
        <f t="shared" si="99"/>
        <v>0</v>
      </c>
      <c r="FQ60" s="457">
        <f>FQ61+FQ62</f>
        <v>0</v>
      </c>
      <c r="FR60" s="457">
        <f t="shared" si="99"/>
        <v>0</v>
      </c>
      <c r="FS60" s="457">
        <f t="shared" si="99"/>
        <v>0</v>
      </c>
      <c r="FT60" s="457">
        <f t="shared" si="99"/>
        <v>0</v>
      </c>
      <c r="FU60" s="457">
        <f t="shared" si="99"/>
        <v>0</v>
      </c>
      <c r="FV60" s="457">
        <f t="shared" si="99"/>
        <v>0</v>
      </c>
      <c r="FW60" s="457">
        <f t="shared" si="99"/>
        <v>0</v>
      </c>
      <c r="FX60" s="457">
        <f>FX61+FX62</f>
        <v>0</v>
      </c>
      <c r="FY60" s="457"/>
      <c r="FZ60" s="457">
        <f t="shared" si="99"/>
        <v>0</v>
      </c>
      <c r="GA60" s="457">
        <f t="shared" si="99"/>
        <v>0</v>
      </c>
      <c r="GB60" s="457">
        <f t="shared" si="99"/>
        <v>0</v>
      </c>
      <c r="GC60" s="457">
        <f t="shared" si="99"/>
        <v>0</v>
      </c>
      <c r="GD60" s="457">
        <f t="shared" si="99"/>
        <v>0</v>
      </c>
      <c r="GE60" s="457">
        <f t="shared" si="99"/>
        <v>0</v>
      </c>
      <c r="GF60" s="457">
        <f t="shared" si="99"/>
        <v>0</v>
      </c>
      <c r="GG60" s="457">
        <f>GG61+GG62</f>
        <v>0</v>
      </c>
      <c r="GH60" s="457">
        <f>GH61+GH62</f>
        <v>0</v>
      </c>
      <c r="GI60" s="453" t="s">
        <v>264</v>
      </c>
      <c r="GJ60" s="455">
        <f>CS60/C60</f>
        <v>0.9870708216798211</v>
      </c>
      <c r="GK60" s="455"/>
      <c r="GL60" s="455">
        <f>CZ60/J60</f>
        <v>0.9870708216798211</v>
      </c>
      <c r="GM60" s="455"/>
      <c r="GN60" s="455"/>
    </row>
    <row r="61" spans="1:196" s="456" customFormat="1" ht="15" customHeight="1" hidden="1">
      <c r="A61" s="452"/>
      <c r="B61" s="453" t="s">
        <v>250</v>
      </c>
      <c r="C61" s="457">
        <f>D61+J61+AY61+CD61</f>
        <v>0</v>
      </c>
      <c r="D61" s="457">
        <f>SUM(E61:I61)</f>
        <v>0</v>
      </c>
      <c r="E61" s="457"/>
      <c r="F61" s="457"/>
      <c r="G61" s="457"/>
      <c r="H61" s="457"/>
      <c r="I61" s="457"/>
      <c r="J61" s="457">
        <f>SUM(K61:AX61)</f>
        <v>0</v>
      </c>
      <c r="K61" s="457"/>
      <c r="L61" s="457"/>
      <c r="M61" s="457"/>
      <c r="N61" s="457"/>
      <c r="O61" s="457"/>
      <c r="P61" s="457"/>
      <c r="Q61" s="457"/>
      <c r="R61" s="457"/>
      <c r="S61" s="457"/>
      <c r="T61" s="457"/>
      <c r="U61" s="457"/>
      <c r="V61" s="457"/>
      <c r="W61" s="457"/>
      <c r="X61" s="457"/>
      <c r="Y61" s="457"/>
      <c r="Z61" s="457"/>
      <c r="AA61" s="457"/>
      <c r="AB61" s="457"/>
      <c r="AC61" s="457"/>
      <c r="AD61" s="457"/>
      <c r="AE61" s="457"/>
      <c r="AF61" s="457"/>
      <c r="AG61" s="457"/>
      <c r="AH61" s="457"/>
      <c r="AI61" s="457"/>
      <c r="AJ61" s="457"/>
      <c r="AK61" s="457"/>
      <c r="AL61" s="457"/>
      <c r="AM61" s="457"/>
      <c r="AN61" s="457"/>
      <c r="AO61" s="457"/>
      <c r="AP61" s="457"/>
      <c r="AQ61" s="457"/>
      <c r="AR61" s="457"/>
      <c r="AS61" s="457"/>
      <c r="AT61" s="457"/>
      <c r="AU61" s="457"/>
      <c r="AV61" s="457"/>
      <c r="AW61" s="457"/>
      <c r="AX61" s="457"/>
      <c r="AY61" s="457">
        <f>SUM(AZ61:BA61)</f>
        <v>0</v>
      </c>
      <c r="AZ61" s="457">
        <f>SUM(BB61:BI61)+SUM(BQ61:BX61)</f>
        <v>0</v>
      </c>
      <c r="BA61" s="457">
        <f>SUM(BJ61:BP61)+SUM(BY61:CC61)</f>
        <v>0</v>
      </c>
      <c r="BB61" s="457"/>
      <c r="BC61" s="457"/>
      <c r="BD61" s="457"/>
      <c r="BE61" s="457"/>
      <c r="BF61" s="457"/>
      <c r="BG61" s="457"/>
      <c r="BH61" s="457"/>
      <c r="BI61" s="457"/>
      <c r="BJ61" s="457"/>
      <c r="BK61" s="457"/>
      <c r="BL61" s="457"/>
      <c r="BM61" s="457"/>
      <c r="BN61" s="457"/>
      <c r="BO61" s="457"/>
      <c r="BP61" s="457"/>
      <c r="BQ61" s="457"/>
      <c r="BR61" s="457"/>
      <c r="BS61" s="457"/>
      <c r="BT61" s="457"/>
      <c r="BU61" s="457"/>
      <c r="BV61" s="457"/>
      <c r="BW61" s="457"/>
      <c r="BX61" s="457"/>
      <c r="BY61" s="457"/>
      <c r="BZ61" s="457"/>
      <c r="CA61" s="457"/>
      <c r="CB61" s="457"/>
      <c r="CC61" s="457"/>
      <c r="CD61" s="457">
        <f>SUM(CE61:CF61)</f>
        <v>0</v>
      </c>
      <c r="CE61" s="457">
        <f>SUM(CG61:CI61)</f>
        <v>0</v>
      </c>
      <c r="CF61" s="457">
        <f>SUM(CJ61:CQ61)</f>
        <v>0</v>
      </c>
      <c r="CG61" s="457"/>
      <c r="CH61" s="457"/>
      <c r="CI61" s="457"/>
      <c r="CJ61" s="457"/>
      <c r="CK61" s="457"/>
      <c r="CL61" s="457"/>
      <c r="CM61" s="457"/>
      <c r="CN61" s="457"/>
      <c r="CO61" s="457"/>
      <c r="CP61" s="457"/>
      <c r="CQ61" s="457"/>
      <c r="CR61" s="453" t="s">
        <v>250</v>
      </c>
      <c r="CS61" s="457">
        <f>CT61+CZ61+EO61+FT61+GH61</f>
        <v>0</v>
      </c>
      <c r="CT61" s="457">
        <f>SUM(CU61:CY61)</f>
        <v>0</v>
      </c>
      <c r="CU61" s="457"/>
      <c r="CV61" s="457"/>
      <c r="CW61" s="457"/>
      <c r="CX61" s="457"/>
      <c r="CY61" s="457"/>
      <c r="CZ61" s="457">
        <f>SUM(DA61:EN61)</f>
        <v>0</v>
      </c>
      <c r="DA61" s="457"/>
      <c r="DB61" s="457"/>
      <c r="DC61" s="457"/>
      <c r="DD61" s="457"/>
      <c r="DE61" s="457"/>
      <c r="DF61" s="457"/>
      <c r="DG61" s="457"/>
      <c r="DH61" s="457"/>
      <c r="DI61" s="457"/>
      <c r="DJ61" s="457"/>
      <c r="DK61" s="457"/>
      <c r="DL61" s="457"/>
      <c r="DM61" s="457"/>
      <c r="DN61" s="457"/>
      <c r="DO61" s="457"/>
      <c r="DP61" s="457"/>
      <c r="DQ61" s="457"/>
      <c r="DR61" s="457"/>
      <c r="DS61" s="457"/>
      <c r="DT61" s="457"/>
      <c r="DU61" s="457"/>
      <c r="DV61" s="457"/>
      <c r="DW61" s="457"/>
      <c r="DX61" s="457"/>
      <c r="DY61" s="457"/>
      <c r="DZ61" s="457"/>
      <c r="EA61" s="457"/>
      <c r="EB61" s="457"/>
      <c r="EC61" s="457"/>
      <c r="ED61" s="457"/>
      <c r="EE61" s="457"/>
      <c r="EF61" s="457"/>
      <c r="EG61" s="457"/>
      <c r="EH61" s="457"/>
      <c r="EI61" s="457"/>
      <c r="EJ61" s="457"/>
      <c r="EK61" s="457"/>
      <c r="EL61" s="457"/>
      <c r="EM61" s="457"/>
      <c r="EN61" s="457"/>
      <c r="EO61" s="457">
        <f>SUM(EP61:EQ61)</f>
        <v>0</v>
      </c>
      <c r="EP61" s="457">
        <f>SUM(ER61:EY61)+SUM(FG61:FN61)</f>
        <v>0</v>
      </c>
      <c r="EQ61" s="457">
        <f>SUM(EZ61:FF61)+SUM(FO61:FS61)</f>
        <v>0</v>
      </c>
      <c r="ER61" s="457"/>
      <c r="ES61" s="457"/>
      <c r="ET61" s="457"/>
      <c r="EU61" s="457"/>
      <c r="EV61" s="457"/>
      <c r="EW61" s="457"/>
      <c r="EX61" s="457"/>
      <c r="EY61" s="457"/>
      <c r="EZ61" s="457"/>
      <c r="FA61" s="457"/>
      <c r="FB61" s="457"/>
      <c r="FC61" s="457"/>
      <c r="FD61" s="457"/>
      <c r="FE61" s="457"/>
      <c r="FF61" s="457"/>
      <c r="FG61" s="457"/>
      <c r="FH61" s="457"/>
      <c r="FI61" s="457"/>
      <c r="FJ61" s="457"/>
      <c r="FK61" s="457"/>
      <c r="FL61" s="457"/>
      <c r="FM61" s="457"/>
      <c r="FN61" s="457"/>
      <c r="FO61" s="457"/>
      <c r="FP61" s="457"/>
      <c r="FQ61" s="457"/>
      <c r="FR61" s="457"/>
      <c r="FS61" s="457"/>
      <c r="FT61" s="457">
        <f>SUM(FU61:FV61)</f>
        <v>0</v>
      </c>
      <c r="FU61" s="457">
        <f>SUM(FW61:FY61)</f>
        <v>0</v>
      </c>
      <c r="FV61" s="457">
        <f>SUM(FZ61:GG61)</f>
        <v>0</v>
      </c>
      <c r="FW61" s="457"/>
      <c r="FX61" s="457"/>
      <c r="FY61" s="457"/>
      <c r="FZ61" s="457"/>
      <c r="GA61" s="457"/>
      <c r="GB61" s="457"/>
      <c r="GC61" s="457"/>
      <c r="GD61" s="457"/>
      <c r="GE61" s="457"/>
      <c r="GF61" s="457"/>
      <c r="GG61" s="457"/>
      <c r="GH61" s="457"/>
      <c r="GI61" s="453" t="s">
        <v>250</v>
      </c>
      <c r="GJ61" s="455"/>
      <c r="GK61" s="455"/>
      <c r="GL61" s="455"/>
      <c r="GM61" s="455"/>
      <c r="GN61" s="455"/>
    </row>
    <row r="62" spans="1:196" s="456" customFormat="1" ht="15" customHeight="1" hidden="1">
      <c r="A62" s="452"/>
      <c r="B62" s="453" t="s">
        <v>251</v>
      </c>
      <c r="C62" s="457">
        <f>D62+J62+AY62+CD62</f>
        <v>777698300</v>
      </c>
      <c r="D62" s="457">
        <f>SUM(E62:I62)</f>
        <v>0</v>
      </c>
      <c r="E62" s="457"/>
      <c r="F62" s="457"/>
      <c r="G62" s="457"/>
      <c r="H62" s="457"/>
      <c r="I62" s="457"/>
      <c r="J62" s="457">
        <f>SUM(K62:AX62)</f>
        <v>777698300</v>
      </c>
      <c r="K62" s="457"/>
      <c r="L62" s="457"/>
      <c r="M62" s="457"/>
      <c r="N62" s="457"/>
      <c r="O62" s="457"/>
      <c r="P62" s="457"/>
      <c r="Q62" s="457"/>
      <c r="R62" s="457"/>
      <c r="S62" s="457"/>
      <c r="T62" s="457">
        <f>15000000-5801700</f>
        <v>9198300</v>
      </c>
      <c r="U62" s="457"/>
      <c r="V62" s="457"/>
      <c r="W62" s="457"/>
      <c r="X62" s="457"/>
      <c r="Y62" s="457"/>
      <c r="Z62" s="457"/>
      <c r="AA62" s="457"/>
      <c r="AB62" s="457"/>
      <c r="AC62" s="457"/>
      <c r="AD62" s="457"/>
      <c r="AE62" s="457"/>
      <c r="AF62" s="457"/>
      <c r="AG62" s="457"/>
      <c r="AH62" s="457"/>
      <c r="AI62" s="457"/>
      <c r="AJ62" s="457"/>
      <c r="AK62" s="457"/>
      <c r="AL62" s="457"/>
      <c r="AM62" s="457"/>
      <c r="AN62" s="457"/>
      <c r="AO62" s="457"/>
      <c r="AP62" s="457"/>
      <c r="AQ62" s="457"/>
      <c r="AR62" s="457">
        <v>768500000</v>
      </c>
      <c r="AS62" s="457"/>
      <c r="AT62" s="457"/>
      <c r="AU62" s="457"/>
      <c r="AV62" s="457"/>
      <c r="AW62" s="457"/>
      <c r="AX62" s="457"/>
      <c r="AY62" s="457">
        <f>SUM(AZ62:BA62)</f>
        <v>0</v>
      </c>
      <c r="AZ62" s="457">
        <f>SUM(BB62:BI62)+SUM(BQ62:BX62)</f>
        <v>0</v>
      </c>
      <c r="BA62" s="457">
        <f>SUM(BJ62:BP62)+SUM(BY62:CC62)</f>
        <v>0</v>
      </c>
      <c r="BB62" s="457"/>
      <c r="BC62" s="457"/>
      <c r="BD62" s="457"/>
      <c r="BE62" s="457"/>
      <c r="BF62" s="457"/>
      <c r="BG62" s="457"/>
      <c r="BH62" s="457"/>
      <c r="BI62" s="457"/>
      <c r="BJ62" s="457"/>
      <c r="BK62" s="457"/>
      <c r="BL62" s="457"/>
      <c r="BM62" s="457"/>
      <c r="BN62" s="457"/>
      <c r="BO62" s="457"/>
      <c r="BP62" s="457"/>
      <c r="BQ62" s="457"/>
      <c r="BR62" s="457"/>
      <c r="BS62" s="457"/>
      <c r="BT62" s="457"/>
      <c r="BU62" s="457"/>
      <c r="BV62" s="457"/>
      <c r="BW62" s="457"/>
      <c r="BX62" s="457"/>
      <c r="BY62" s="457"/>
      <c r="BZ62" s="457"/>
      <c r="CA62" s="457"/>
      <c r="CB62" s="457"/>
      <c r="CC62" s="457"/>
      <c r="CD62" s="457">
        <f>SUM(CE62:CF62)</f>
        <v>0</v>
      </c>
      <c r="CE62" s="457">
        <f>SUM(CG62:CI62)</f>
        <v>0</v>
      </c>
      <c r="CF62" s="457">
        <f>SUM(CJ62:CQ62)</f>
        <v>0</v>
      </c>
      <c r="CG62" s="457"/>
      <c r="CH62" s="457"/>
      <c r="CI62" s="457"/>
      <c r="CJ62" s="457"/>
      <c r="CK62" s="457"/>
      <c r="CL62" s="457"/>
      <c r="CM62" s="457"/>
      <c r="CN62" s="457"/>
      <c r="CO62" s="457"/>
      <c r="CP62" s="457"/>
      <c r="CQ62" s="457"/>
      <c r="CR62" s="453" t="s">
        <v>251</v>
      </c>
      <c r="CS62" s="457">
        <f>CT62+CZ62+EO62+FT62+GH62</f>
        <v>767643300</v>
      </c>
      <c r="CT62" s="457">
        <f>SUM(CU62:CY62)</f>
        <v>0</v>
      </c>
      <c r="CU62" s="457"/>
      <c r="CV62" s="457"/>
      <c r="CW62" s="457"/>
      <c r="CX62" s="457"/>
      <c r="CY62" s="457"/>
      <c r="CZ62" s="457">
        <f>SUM(DA62:EN62)</f>
        <v>767643300</v>
      </c>
      <c r="DA62" s="457"/>
      <c r="DB62" s="457"/>
      <c r="DC62" s="457"/>
      <c r="DD62" s="457"/>
      <c r="DE62" s="457"/>
      <c r="DF62" s="457"/>
      <c r="DG62" s="457"/>
      <c r="DH62" s="457"/>
      <c r="DI62" s="457"/>
      <c r="DJ62" s="457">
        <v>9198300</v>
      </c>
      <c r="DK62" s="457"/>
      <c r="DL62" s="457"/>
      <c r="DM62" s="457"/>
      <c r="DN62" s="457"/>
      <c r="DO62" s="457"/>
      <c r="DP62" s="457"/>
      <c r="DQ62" s="457"/>
      <c r="DR62" s="457"/>
      <c r="DS62" s="457"/>
      <c r="DT62" s="457"/>
      <c r="DU62" s="457"/>
      <c r="DV62" s="457"/>
      <c r="DW62" s="457"/>
      <c r="DX62" s="457"/>
      <c r="DY62" s="457"/>
      <c r="DZ62" s="457"/>
      <c r="EA62" s="457"/>
      <c r="EB62" s="457"/>
      <c r="EC62" s="457"/>
      <c r="ED62" s="457"/>
      <c r="EE62" s="457"/>
      <c r="EF62" s="457"/>
      <c r="EG62" s="457"/>
      <c r="EH62" s="457">
        <v>758445000</v>
      </c>
      <c r="EI62" s="457"/>
      <c r="EJ62" s="457"/>
      <c r="EK62" s="457"/>
      <c r="EL62" s="457"/>
      <c r="EM62" s="457"/>
      <c r="EN62" s="457"/>
      <c r="EO62" s="457">
        <f>SUM(EP62:EQ62)</f>
        <v>0</v>
      </c>
      <c r="EP62" s="457">
        <f>SUM(ER62:EY62)+SUM(FG62:FN62)</f>
        <v>0</v>
      </c>
      <c r="EQ62" s="457">
        <f>SUM(EZ62:FF62)+SUM(FO62:FS62)</f>
        <v>0</v>
      </c>
      <c r="ER62" s="457"/>
      <c r="ES62" s="457"/>
      <c r="ET62" s="457"/>
      <c r="EU62" s="457"/>
      <c r="EV62" s="457"/>
      <c r="EW62" s="457"/>
      <c r="EX62" s="457"/>
      <c r="EY62" s="457"/>
      <c r="EZ62" s="457"/>
      <c r="FA62" s="457"/>
      <c r="FB62" s="457"/>
      <c r="FC62" s="457"/>
      <c r="FD62" s="457"/>
      <c r="FE62" s="457"/>
      <c r="FF62" s="457"/>
      <c r="FG62" s="457"/>
      <c r="FH62" s="457"/>
      <c r="FI62" s="457"/>
      <c r="FJ62" s="457"/>
      <c r="FK62" s="457"/>
      <c r="FL62" s="457"/>
      <c r="FM62" s="457"/>
      <c r="FN62" s="457"/>
      <c r="FO62" s="457"/>
      <c r="FP62" s="457"/>
      <c r="FQ62" s="457"/>
      <c r="FR62" s="457"/>
      <c r="FS62" s="457"/>
      <c r="FT62" s="457">
        <f>SUM(FU62:FV62)</f>
        <v>0</v>
      </c>
      <c r="FU62" s="457">
        <f>SUM(FW62:FY62)</f>
        <v>0</v>
      </c>
      <c r="FV62" s="457">
        <f>SUM(FZ62:GG62)</f>
        <v>0</v>
      </c>
      <c r="FW62" s="457"/>
      <c r="FX62" s="457"/>
      <c r="FY62" s="457"/>
      <c r="FZ62" s="457"/>
      <c r="GA62" s="457"/>
      <c r="GB62" s="457"/>
      <c r="GC62" s="457"/>
      <c r="GD62" s="457"/>
      <c r="GE62" s="457"/>
      <c r="GF62" s="457"/>
      <c r="GG62" s="457"/>
      <c r="GH62" s="457"/>
      <c r="GI62" s="453" t="s">
        <v>251</v>
      </c>
      <c r="GJ62" s="455">
        <f>CS62/C62</f>
        <v>0.9870708216798211</v>
      </c>
      <c r="GK62" s="455"/>
      <c r="GL62" s="455">
        <f>CZ62/J62</f>
        <v>0.9870708216798211</v>
      </c>
      <c r="GM62" s="455"/>
      <c r="GN62" s="455"/>
    </row>
    <row r="63" spans="1:196" s="456" customFormat="1" ht="15" customHeight="1">
      <c r="A63" s="452">
        <v>17</v>
      </c>
      <c r="B63" s="453" t="s">
        <v>266</v>
      </c>
      <c r="C63" s="457">
        <f aca="true" t="shared" si="100" ref="C63:H63">C64+C65</f>
        <v>1707949038</v>
      </c>
      <c r="D63" s="457">
        <f t="shared" si="100"/>
        <v>0</v>
      </c>
      <c r="E63" s="457">
        <f t="shared" si="100"/>
        <v>0</v>
      </c>
      <c r="F63" s="457">
        <f t="shared" si="100"/>
        <v>0</v>
      </c>
      <c r="G63" s="457">
        <f t="shared" si="100"/>
        <v>0</v>
      </c>
      <c r="H63" s="457">
        <f t="shared" si="100"/>
        <v>0</v>
      </c>
      <c r="I63" s="457">
        <f aca="true" t="shared" si="101" ref="I63:BY63">I64+I65</f>
        <v>0</v>
      </c>
      <c r="J63" s="457">
        <f>J64+J65</f>
        <v>1707949038</v>
      </c>
      <c r="K63" s="457">
        <f t="shared" si="101"/>
        <v>0</v>
      </c>
      <c r="L63" s="457">
        <f>L64+L65</f>
        <v>0</v>
      </c>
      <c r="M63" s="457">
        <f t="shared" si="101"/>
        <v>0</v>
      </c>
      <c r="N63" s="457">
        <f t="shared" si="101"/>
        <v>0</v>
      </c>
      <c r="O63" s="457">
        <f t="shared" si="101"/>
        <v>0</v>
      </c>
      <c r="P63" s="457">
        <f t="shared" si="101"/>
        <v>0</v>
      </c>
      <c r="Q63" s="457">
        <f t="shared" si="101"/>
        <v>0</v>
      </c>
      <c r="R63" s="457">
        <f t="shared" si="101"/>
        <v>0</v>
      </c>
      <c r="S63" s="457">
        <f>S64+S65</f>
        <v>0</v>
      </c>
      <c r="T63" s="457">
        <f t="shared" si="101"/>
        <v>0</v>
      </c>
      <c r="U63" s="457">
        <f t="shared" si="101"/>
        <v>0</v>
      </c>
      <c r="V63" s="457">
        <f>V64+V65</f>
        <v>0</v>
      </c>
      <c r="W63" s="457">
        <f>W64+W65</f>
        <v>0</v>
      </c>
      <c r="X63" s="457">
        <f t="shared" si="101"/>
        <v>492763031</v>
      </c>
      <c r="Y63" s="457">
        <f t="shared" si="101"/>
        <v>0</v>
      </c>
      <c r="Z63" s="457">
        <f t="shared" si="101"/>
        <v>0</v>
      </c>
      <c r="AA63" s="457">
        <f t="shared" si="101"/>
        <v>0</v>
      </c>
      <c r="AB63" s="457">
        <f t="shared" si="101"/>
        <v>0</v>
      </c>
      <c r="AC63" s="457">
        <f t="shared" si="101"/>
        <v>0</v>
      </c>
      <c r="AD63" s="457">
        <f t="shared" si="101"/>
        <v>0</v>
      </c>
      <c r="AE63" s="457">
        <f t="shared" si="101"/>
        <v>0</v>
      </c>
      <c r="AF63" s="457">
        <f t="shared" si="101"/>
        <v>0</v>
      </c>
      <c r="AG63" s="457">
        <f>AG64+AG65</f>
        <v>0</v>
      </c>
      <c r="AH63" s="457">
        <f t="shared" si="101"/>
        <v>0</v>
      </c>
      <c r="AI63" s="457">
        <f t="shared" si="101"/>
        <v>92186007</v>
      </c>
      <c r="AJ63" s="457">
        <f t="shared" si="101"/>
        <v>0</v>
      </c>
      <c r="AK63" s="457">
        <f t="shared" si="101"/>
        <v>0</v>
      </c>
      <c r="AL63" s="457">
        <f t="shared" si="101"/>
        <v>0</v>
      </c>
      <c r="AM63" s="457">
        <f t="shared" si="101"/>
        <v>0</v>
      </c>
      <c r="AN63" s="457">
        <f t="shared" si="101"/>
        <v>0</v>
      </c>
      <c r="AO63" s="457">
        <f t="shared" si="101"/>
        <v>0</v>
      </c>
      <c r="AP63" s="457">
        <f t="shared" si="101"/>
        <v>0</v>
      </c>
      <c r="AQ63" s="457">
        <f>AQ64+AQ65</f>
        <v>0</v>
      </c>
      <c r="AR63" s="457">
        <f>AR64+AR65</f>
        <v>823000000</v>
      </c>
      <c r="AS63" s="457">
        <f t="shared" si="101"/>
        <v>300000000</v>
      </c>
      <c r="AT63" s="457">
        <f t="shared" si="101"/>
        <v>0</v>
      </c>
      <c r="AU63" s="457">
        <f t="shared" si="101"/>
        <v>0</v>
      </c>
      <c r="AV63" s="457">
        <f>AV64+AV65</f>
        <v>0</v>
      </c>
      <c r="AW63" s="457">
        <f t="shared" si="101"/>
        <v>0</v>
      </c>
      <c r="AX63" s="457">
        <f t="shared" si="101"/>
        <v>0</v>
      </c>
      <c r="AY63" s="457">
        <f>AY64+AY65</f>
        <v>0</v>
      </c>
      <c r="AZ63" s="457">
        <f>AZ64+AZ65</f>
        <v>0</v>
      </c>
      <c r="BA63" s="457">
        <f>BA64+BA65</f>
        <v>0</v>
      </c>
      <c r="BB63" s="457">
        <f t="shared" si="101"/>
        <v>0</v>
      </c>
      <c r="BC63" s="457">
        <f t="shared" si="101"/>
        <v>0</v>
      </c>
      <c r="BD63" s="457">
        <f t="shared" si="101"/>
        <v>0</v>
      </c>
      <c r="BE63" s="457">
        <f t="shared" si="101"/>
        <v>0</v>
      </c>
      <c r="BF63" s="457">
        <f t="shared" si="101"/>
        <v>0</v>
      </c>
      <c r="BG63" s="457">
        <f t="shared" si="101"/>
        <v>0</v>
      </c>
      <c r="BH63" s="457">
        <f t="shared" si="101"/>
        <v>0</v>
      </c>
      <c r="BI63" s="457">
        <f>BI64+BI65</f>
        <v>0</v>
      </c>
      <c r="BJ63" s="457">
        <f t="shared" si="101"/>
        <v>0</v>
      </c>
      <c r="BK63" s="457">
        <f t="shared" si="101"/>
        <v>0</v>
      </c>
      <c r="BL63" s="457">
        <f t="shared" si="101"/>
        <v>0</v>
      </c>
      <c r="BM63" s="457">
        <f t="shared" si="101"/>
        <v>0</v>
      </c>
      <c r="BN63" s="457">
        <f>BN64+BN65</f>
        <v>0</v>
      </c>
      <c r="BO63" s="457">
        <f t="shared" si="101"/>
        <v>0</v>
      </c>
      <c r="BP63" s="457">
        <f t="shared" si="101"/>
        <v>0</v>
      </c>
      <c r="BQ63" s="457">
        <f t="shared" si="101"/>
        <v>0</v>
      </c>
      <c r="BR63" s="457">
        <f t="shared" si="101"/>
        <v>0</v>
      </c>
      <c r="BS63" s="457">
        <f t="shared" si="101"/>
        <v>0</v>
      </c>
      <c r="BT63" s="457">
        <f t="shared" si="101"/>
        <v>0</v>
      </c>
      <c r="BU63" s="457">
        <f t="shared" si="101"/>
        <v>0</v>
      </c>
      <c r="BV63" s="457">
        <f t="shared" si="101"/>
        <v>0</v>
      </c>
      <c r="BW63" s="457">
        <f t="shared" si="101"/>
        <v>0</v>
      </c>
      <c r="BX63" s="457">
        <f t="shared" si="101"/>
        <v>0</v>
      </c>
      <c r="BY63" s="457">
        <f t="shared" si="101"/>
        <v>0</v>
      </c>
      <c r="BZ63" s="457">
        <f aca="true" t="shared" si="102" ref="BZ63:CP63">BZ64+BZ65</f>
        <v>0</v>
      </c>
      <c r="CA63" s="457">
        <f>CA64+CA65</f>
        <v>0</v>
      </c>
      <c r="CB63" s="457">
        <f t="shared" si="102"/>
        <v>0</v>
      </c>
      <c r="CC63" s="457">
        <f t="shared" si="102"/>
        <v>0</v>
      </c>
      <c r="CD63" s="457">
        <f t="shared" si="102"/>
        <v>0</v>
      </c>
      <c r="CE63" s="457">
        <f t="shared" si="102"/>
        <v>0</v>
      </c>
      <c r="CF63" s="457">
        <f t="shared" si="102"/>
        <v>0</v>
      </c>
      <c r="CG63" s="457">
        <f t="shared" si="102"/>
        <v>0</v>
      </c>
      <c r="CH63" s="457">
        <f>CH64+CH65</f>
        <v>0</v>
      </c>
      <c r="CI63" s="457">
        <f>CI64+CI65</f>
        <v>0</v>
      </c>
      <c r="CJ63" s="457">
        <f t="shared" si="102"/>
        <v>0</v>
      </c>
      <c r="CK63" s="457">
        <f t="shared" si="102"/>
        <v>0</v>
      </c>
      <c r="CL63" s="457">
        <f t="shared" si="102"/>
        <v>0</v>
      </c>
      <c r="CM63" s="457">
        <f t="shared" si="102"/>
        <v>0</v>
      </c>
      <c r="CN63" s="457">
        <f t="shared" si="102"/>
        <v>0</v>
      </c>
      <c r="CO63" s="457">
        <f t="shared" si="102"/>
        <v>0</v>
      </c>
      <c r="CP63" s="457">
        <f t="shared" si="102"/>
        <v>0</v>
      </c>
      <c r="CQ63" s="457">
        <f>CQ64+CQ65</f>
        <v>0</v>
      </c>
      <c r="CR63" s="453" t="s">
        <v>266</v>
      </c>
      <c r="CS63" s="457">
        <f>CS64+CS65</f>
        <v>1685402495</v>
      </c>
      <c r="CT63" s="457">
        <f aca="true" t="shared" si="103" ref="CT63:FJ63">CT64+CT65</f>
        <v>0</v>
      </c>
      <c r="CU63" s="457">
        <f t="shared" si="103"/>
        <v>0</v>
      </c>
      <c r="CV63" s="457">
        <f>CV64+CV65</f>
        <v>0</v>
      </c>
      <c r="CW63" s="457">
        <f>CW64+CW65</f>
        <v>0</v>
      </c>
      <c r="CX63" s="457">
        <f>CX64+CX65</f>
        <v>0</v>
      </c>
      <c r="CY63" s="457">
        <f t="shared" si="103"/>
        <v>0</v>
      </c>
      <c r="CZ63" s="457">
        <f t="shared" si="103"/>
        <v>1685402492</v>
      </c>
      <c r="DA63" s="457">
        <f t="shared" si="103"/>
        <v>0</v>
      </c>
      <c r="DB63" s="457">
        <f>DB64+DB65</f>
        <v>0</v>
      </c>
      <c r="DC63" s="457">
        <f t="shared" si="103"/>
        <v>0</v>
      </c>
      <c r="DD63" s="457">
        <f t="shared" si="103"/>
        <v>0</v>
      </c>
      <c r="DE63" s="457">
        <f t="shared" si="103"/>
        <v>0</v>
      </c>
      <c r="DF63" s="457">
        <f t="shared" si="103"/>
        <v>0</v>
      </c>
      <c r="DG63" s="457">
        <f t="shared" si="103"/>
        <v>0</v>
      </c>
      <c r="DH63" s="457">
        <f t="shared" si="103"/>
        <v>0</v>
      </c>
      <c r="DI63" s="457">
        <f>DI64+DI65</f>
        <v>0</v>
      </c>
      <c r="DJ63" s="457">
        <f t="shared" si="103"/>
        <v>0</v>
      </c>
      <c r="DK63" s="457">
        <f t="shared" si="103"/>
        <v>0</v>
      </c>
      <c r="DL63" s="457">
        <f>DL64+DL65</f>
        <v>0</v>
      </c>
      <c r="DM63" s="457">
        <f>DM64+DM65</f>
        <v>0</v>
      </c>
      <c r="DN63" s="457">
        <f t="shared" si="103"/>
        <v>492763031</v>
      </c>
      <c r="DO63" s="457">
        <f t="shared" si="103"/>
        <v>0</v>
      </c>
      <c r="DP63" s="457">
        <f t="shared" si="103"/>
        <v>0</v>
      </c>
      <c r="DQ63" s="457">
        <f t="shared" si="103"/>
        <v>0</v>
      </c>
      <c r="DR63" s="457">
        <f t="shared" si="103"/>
        <v>0</v>
      </c>
      <c r="DS63" s="457">
        <f t="shared" si="103"/>
        <v>0</v>
      </c>
      <c r="DT63" s="457">
        <f t="shared" si="103"/>
        <v>0</v>
      </c>
      <c r="DU63" s="457">
        <f t="shared" si="103"/>
        <v>0</v>
      </c>
      <c r="DV63" s="457">
        <f t="shared" si="103"/>
        <v>0</v>
      </c>
      <c r="DW63" s="457">
        <f>DW64+DW65</f>
        <v>0</v>
      </c>
      <c r="DX63" s="457">
        <f t="shared" si="103"/>
        <v>0</v>
      </c>
      <c r="DY63" s="457">
        <f t="shared" si="103"/>
        <v>92186007</v>
      </c>
      <c r="DZ63" s="457">
        <f t="shared" si="103"/>
        <v>0</v>
      </c>
      <c r="EA63" s="457">
        <f t="shared" si="103"/>
        <v>0</v>
      </c>
      <c r="EB63" s="457">
        <f t="shared" si="103"/>
        <v>0</v>
      </c>
      <c r="EC63" s="457">
        <f t="shared" si="103"/>
        <v>0</v>
      </c>
      <c r="ED63" s="457">
        <f t="shared" si="103"/>
        <v>0</v>
      </c>
      <c r="EE63" s="457">
        <f t="shared" si="103"/>
        <v>0</v>
      </c>
      <c r="EF63" s="457">
        <f t="shared" si="103"/>
        <v>0</v>
      </c>
      <c r="EG63" s="457">
        <f>EG64+EG65</f>
        <v>0</v>
      </c>
      <c r="EH63" s="457">
        <f>EH64+EH65</f>
        <v>822939997</v>
      </c>
      <c r="EI63" s="457">
        <f t="shared" si="103"/>
        <v>277513457</v>
      </c>
      <c r="EJ63" s="457">
        <f t="shared" si="103"/>
        <v>0</v>
      </c>
      <c r="EK63" s="457">
        <f t="shared" si="103"/>
        <v>0</v>
      </c>
      <c r="EL63" s="457">
        <f>EL64+EL65</f>
        <v>0</v>
      </c>
      <c r="EM63" s="457">
        <f t="shared" si="103"/>
        <v>0</v>
      </c>
      <c r="EN63" s="457">
        <f t="shared" si="103"/>
        <v>0</v>
      </c>
      <c r="EO63" s="457">
        <f t="shared" si="103"/>
        <v>0</v>
      </c>
      <c r="EP63" s="457">
        <f t="shared" si="103"/>
        <v>0</v>
      </c>
      <c r="EQ63" s="457">
        <f t="shared" si="103"/>
        <v>0</v>
      </c>
      <c r="ER63" s="457">
        <f t="shared" si="103"/>
        <v>0</v>
      </c>
      <c r="ES63" s="457">
        <f t="shared" si="103"/>
        <v>0</v>
      </c>
      <c r="ET63" s="457">
        <f t="shared" si="103"/>
        <v>0</v>
      </c>
      <c r="EU63" s="457">
        <f t="shared" si="103"/>
        <v>0</v>
      </c>
      <c r="EV63" s="457">
        <f t="shared" si="103"/>
        <v>0</v>
      </c>
      <c r="EW63" s="457">
        <f t="shared" si="103"/>
        <v>0</v>
      </c>
      <c r="EX63" s="457">
        <f t="shared" si="103"/>
        <v>0</v>
      </c>
      <c r="EY63" s="457">
        <f>EY64+EY65</f>
        <v>0</v>
      </c>
      <c r="EZ63" s="457">
        <f t="shared" si="103"/>
        <v>0</v>
      </c>
      <c r="FA63" s="457">
        <f t="shared" si="103"/>
        <v>0</v>
      </c>
      <c r="FB63" s="457">
        <f t="shared" si="103"/>
        <v>0</v>
      </c>
      <c r="FC63" s="457">
        <f t="shared" si="103"/>
        <v>0</v>
      </c>
      <c r="FD63" s="457">
        <f>FD64+FD65</f>
        <v>0</v>
      </c>
      <c r="FE63" s="457">
        <f t="shared" si="103"/>
        <v>0</v>
      </c>
      <c r="FF63" s="457">
        <f t="shared" si="103"/>
        <v>0</v>
      </c>
      <c r="FG63" s="457">
        <f t="shared" si="103"/>
        <v>0</v>
      </c>
      <c r="FH63" s="457">
        <f t="shared" si="103"/>
        <v>0</v>
      </c>
      <c r="FI63" s="457">
        <f t="shared" si="103"/>
        <v>0</v>
      </c>
      <c r="FJ63" s="457">
        <f t="shared" si="103"/>
        <v>0</v>
      </c>
      <c r="FK63" s="457">
        <f aca="true" t="shared" si="104" ref="FK63:GF63">FK64+FK65</f>
        <v>0</v>
      </c>
      <c r="FL63" s="457">
        <f t="shared" si="104"/>
        <v>0</v>
      </c>
      <c r="FM63" s="457">
        <f t="shared" si="104"/>
        <v>0</v>
      </c>
      <c r="FN63" s="457">
        <f t="shared" si="104"/>
        <v>0</v>
      </c>
      <c r="FO63" s="457">
        <f t="shared" si="104"/>
        <v>0</v>
      </c>
      <c r="FP63" s="457">
        <f t="shared" si="104"/>
        <v>0</v>
      </c>
      <c r="FQ63" s="457">
        <f>FQ64+FQ65</f>
        <v>0</v>
      </c>
      <c r="FR63" s="457">
        <f t="shared" si="104"/>
        <v>0</v>
      </c>
      <c r="FS63" s="457">
        <f t="shared" si="104"/>
        <v>0</v>
      </c>
      <c r="FT63" s="457">
        <f t="shared" si="104"/>
        <v>0</v>
      </c>
      <c r="FU63" s="457">
        <f t="shared" si="104"/>
        <v>0</v>
      </c>
      <c r="FV63" s="457">
        <f t="shared" si="104"/>
        <v>0</v>
      </c>
      <c r="FW63" s="457">
        <f t="shared" si="104"/>
        <v>0</v>
      </c>
      <c r="FX63" s="457">
        <f>FX64+FX65</f>
        <v>0</v>
      </c>
      <c r="FY63" s="457"/>
      <c r="FZ63" s="457">
        <f t="shared" si="104"/>
        <v>0</v>
      </c>
      <c r="GA63" s="457">
        <f t="shared" si="104"/>
        <v>0</v>
      </c>
      <c r="GB63" s="457">
        <f t="shared" si="104"/>
        <v>0</v>
      </c>
      <c r="GC63" s="457">
        <f t="shared" si="104"/>
        <v>0</v>
      </c>
      <c r="GD63" s="457">
        <f t="shared" si="104"/>
        <v>0</v>
      </c>
      <c r="GE63" s="457">
        <f t="shared" si="104"/>
        <v>0</v>
      </c>
      <c r="GF63" s="457">
        <f t="shared" si="104"/>
        <v>0</v>
      </c>
      <c r="GG63" s="457">
        <f>GG64+GG65</f>
        <v>0</v>
      </c>
      <c r="GH63" s="457">
        <f>GH64+GH65</f>
        <v>3</v>
      </c>
      <c r="GI63" s="453" t="s">
        <v>266</v>
      </c>
      <c r="GJ63" s="455">
        <f>CS63/C63</f>
        <v>0.9867990540125238</v>
      </c>
      <c r="GK63" s="455"/>
      <c r="GL63" s="455">
        <f>CZ63/J63</f>
        <v>0.986799052256031</v>
      </c>
      <c r="GM63" s="455"/>
      <c r="GN63" s="455"/>
    </row>
    <row r="64" spans="1:196" s="456" customFormat="1" ht="15" customHeight="1" hidden="1">
      <c r="A64" s="452"/>
      <c r="B64" s="453" t="s">
        <v>250</v>
      </c>
      <c r="C64" s="457">
        <f>D64+J64+AY64+CD64</f>
        <v>0</v>
      </c>
      <c r="D64" s="457">
        <f>SUM(E64:I64)</f>
        <v>0</v>
      </c>
      <c r="E64" s="457"/>
      <c r="F64" s="457"/>
      <c r="G64" s="457"/>
      <c r="H64" s="457"/>
      <c r="I64" s="457"/>
      <c r="J64" s="457">
        <f>SUM(K64:AX64)</f>
        <v>0</v>
      </c>
      <c r="K64" s="457"/>
      <c r="L64" s="457"/>
      <c r="M64" s="457"/>
      <c r="N64" s="457"/>
      <c r="O64" s="457"/>
      <c r="P64" s="457"/>
      <c r="Q64" s="457"/>
      <c r="R64" s="457"/>
      <c r="S64" s="457"/>
      <c r="T64" s="457"/>
      <c r="U64" s="457"/>
      <c r="V64" s="457"/>
      <c r="W64" s="457"/>
      <c r="X64" s="457"/>
      <c r="Y64" s="457"/>
      <c r="Z64" s="457"/>
      <c r="AA64" s="457"/>
      <c r="AB64" s="457"/>
      <c r="AC64" s="457"/>
      <c r="AD64" s="457"/>
      <c r="AE64" s="457"/>
      <c r="AF64" s="457"/>
      <c r="AG64" s="457"/>
      <c r="AH64" s="457"/>
      <c r="AI64" s="457"/>
      <c r="AJ64" s="457"/>
      <c r="AK64" s="457"/>
      <c r="AL64" s="457"/>
      <c r="AM64" s="457"/>
      <c r="AN64" s="457"/>
      <c r="AO64" s="457"/>
      <c r="AP64" s="457"/>
      <c r="AQ64" s="457"/>
      <c r="AR64" s="457"/>
      <c r="AS64" s="457"/>
      <c r="AT64" s="457"/>
      <c r="AU64" s="457"/>
      <c r="AV64" s="457"/>
      <c r="AW64" s="457"/>
      <c r="AX64" s="457"/>
      <c r="AY64" s="457">
        <f>SUM(AZ64:BA64)</f>
        <v>0</v>
      </c>
      <c r="AZ64" s="457">
        <f>SUM(BB64:BI64)+SUM(BQ64:BX64)</f>
        <v>0</v>
      </c>
      <c r="BA64" s="457">
        <f>SUM(BJ64:BP64)+SUM(BY64:CC64)</f>
        <v>0</v>
      </c>
      <c r="BB64" s="457"/>
      <c r="BC64" s="457"/>
      <c r="BD64" s="457"/>
      <c r="BE64" s="457"/>
      <c r="BF64" s="457"/>
      <c r="BG64" s="457"/>
      <c r="BH64" s="457"/>
      <c r="BI64" s="457"/>
      <c r="BJ64" s="457"/>
      <c r="BK64" s="457"/>
      <c r="BL64" s="457"/>
      <c r="BM64" s="457"/>
      <c r="BN64" s="457"/>
      <c r="BO64" s="457"/>
      <c r="BP64" s="457"/>
      <c r="BQ64" s="457"/>
      <c r="BR64" s="457"/>
      <c r="BS64" s="457"/>
      <c r="BT64" s="457"/>
      <c r="BU64" s="457"/>
      <c r="BV64" s="457"/>
      <c r="BW64" s="457"/>
      <c r="BX64" s="457"/>
      <c r="BY64" s="457"/>
      <c r="BZ64" s="457"/>
      <c r="CA64" s="457"/>
      <c r="CB64" s="457"/>
      <c r="CC64" s="457"/>
      <c r="CD64" s="457">
        <f>SUM(CE64:CF64)</f>
        <v>0</v>
      </c>
      <c r="CE64" s="457">
        <f>SUM(CG64:CI64)</f>
        <v>0</v>
      </c>
      <c r="CF64" s="457">
        <f>SUM(CJ64:CQ64)</f>
        <v>0</v>
      </c>
      <c r="CG64" s="457"/>
      <c r="CH64" s="457"/>
      <c r="CI64" s="457"/>
      <c r="CJ64" s="457"/>
      <c r="CK64" s="457"/>
      <c r="CL64" s="457"/>
      <c r="CM64" s="457"/>
      <c r="CN64" s="457"/>
      <c r="CO64" s="457"/>
      <c r="CP64" s="457"/>
      <c r="CQ64" s="457"/>
      <c r="CR64" s="453" t="s">
        <v>250</v>
      </c>
      <c r="CS64" s="457">
        <f>CT64+CZ64+EO64+FT64+GH64</f>
        <v>0</v>
      </c>
      <c r="CT64" s="457">
        <f>SUM(CU64:CY64)</f>
        <v>0</v>
      </c>
      <c r="CU64" s="457"/>
      <c r="CV64" s="457"/>
      <c r="CW64" s="457"/>
      <c r="CX64" s="457"/>
      <c r="CY64" s="457"/>
      <c r="CZ64" s="457">
        <f>SUM(DA64:EN64)</f>
        <v>0</v>
      </c>
      <c r="DA64" s="457"/>
      <c r="DB64" s="457"/>
      <c r="DC64" s="457"/>
      <c r="DD64" s="457"/>
      <c r="DE64" s="457"/>
      <c r="DF64" s="457"/>
      <c r="DG64" s="457"/>
      <c r="DH64" s="457"/>
      <c r="DI64" s="457"/>
      <c r="DJ64" s="457"/>
      <c r="DK64" s="457"/>
      <c r="DL64" s="457"/>
      <c r="DM64" s="457"/>
      <c r="DN64" s="457"/>
      <c r="DO64" s="457"/>
      <c r="DP64" s="457"/>
      <c r="DQ64" s="457"/>
      <c r="DR64" s="457"/>
      <c r="DS64" s="457"/>
      <c r="DT64" s="457"/>
      <c r="DU64" s="457"/>
      <c r="DV64" s="457"/>
      <c r="DW64" s="457"/>
      <c r="DX64" s="457"/>
      <c r="DY64" s="457"/>
      <c r="DZ64" s="457"/>
      <c r="EA64" s="457"/>
      <c r="EB64" s="457"/>
      <c r="EC64" s="457"/>
      <c r="ED64" s="457"/>
      <c r="EE64" s="457"/>
      <c r="EF64" s="457"/>
      <c r="EG64" s="457"/>
      <c r="EH64" s="457"/>
      <c r="EI64" s="457"/>
      <c r="EJ64" s="457"/>
      <c r="EK64" s="457"/>
      <c r="EL64" s="457"/>
      <c r="EM64" s="457"/>
      <c r="EN64" s="457"/>
      <c r="EO64" s="457">
        <f>SUM(EP64:EQ64)</f>
        <v>0</v>
      </c>
      <c r="EP64" s="457">
        <f>SUM(ER64:EY64)+SUM(FG64:FN64)</f>
        <v>0</v>
      </c>
      <c r="EQ64" s="457">
        <f>SUM(EZ64:FF64)+SUM(FO64:FS64)</f>
        <v>0</v>
      </c>
      <c r="ER64" s="457"/>
      <c r="ES64" s="457"/>
      <c r="ET64" s="457"/>
      <c r="EU64" s="457"/>
      <c r="EV64" s="457"/>
      <c r="EW64" s="457"/>
      <c r="EX64" s="457"/>
      <c r="EY64" s="457"/>
      <c r="EZ64" s="457"/>
      <c r="FA64" s="457"/>
      <c r="FB64" s="457"/>
      <c r="FC64" s="457"/>
      <c r="FD64" s="457"/>
      <c r="FE64" s="457"/>
      <c r="FF64" s="457"/>
      <c r="FG64" s="457"/>
      <c r="FH64" s="457"/>
      <c r="FI64" s="457"/>
      <c r="FJ64" s="457"/>
      <c r="FK64" s="457"/>
      <c r="FL64" s="457"/>
      <c r="FM64" s="457"/>
      <c r="FN64" s="457"/>
      <c r="FO64" s="457"/>
      <c r="FP64" s="457"/>
      <c r="FQ64" s="457"/>
      <c r="FR64" s="457"/>
      <c r="FS64" s="457"/>
      <c r="FT64" s="457">
        <f>SUM(FU64:FV64)</f>
        <v>0</v>
      </c>
      <c r="FU64" s="457">
        <f>SUM(FW64:FY64)</f>
        <v>0</v>
      </c>
      <c r="FV64" s="457">
        <f>SUM(FZ64:GG64)</f>
        <v>0</v>
      </c>
      <c r="FW64" s="457"/>
      <c r="FX64" s="457"/>
      <c r="FY64" s="457"/>
      <c r="FZ64" s="457"/>
      <c r="GA64" s="457"/>
      <c r="GB64" s="457"/>
      <c r="GC64" s="457"/>
      <c r="GD64" s="457"/>
      <c r="GE64" s="457"/>
      <c r="GF64" s="457"/>
      <c r="GG64" s="457"/>
      <c r="GH64" s="457"/>
      <c r="GI64" s="453" t="s">
        <v>250</v>
      </c>
      <c r="GJ64" s="455"/>
      <c r="GK64" s="455"/>
      <c r="GL64" s="455"/>
      <c r="GM64" s="455"/>
      <c r="GN64" s="455"/>
    </row>
    <row r="65" spans="1:196" s="456" customFormat="1" ht="15" customHeight="1" hidden="1">
      <c r="A65" s="452"/>
      <c r="B65" s="453" t="s">
        <v>251</v>
      </c>
      <c r="C65" s="457">
        <f>D65+J65+AY65+CD65</f>
        <v>1707949038</v>
      </c>
      <c r="D65" s="457">
        <f>SUM(E65:I65)</f>
        <v>0</v>
      </c>
      <c r="E65" s="457"/>
      <c r="F65" s="457"/>
      <c r="G65" s="457"/>
      <c r="H65" s="457"/>
      <c r="I65" s="457"/>
      <c r="J65" s="457">
        <f>SUM(K65:AX65)</f>
        <v>1707949038</v>
      </c>
      <c r="K65" s="457"/>
      <c r="L65" s="457"/>
      <c r="M65" s="457"/>
      <c r="N65" s="457"/>
      <c r="O65" s="457"/>
      <c r="P65" s="457"/>
      <c r="Q65" s="457"/>
      <c r="R65" s="457"/>
      <c r="S65" s="457"/>
      <c r="T65" s="457"/>
      <c r="U65" s="457"/>
      <c r="V65" s="457"/>
      <c r="W65" s="457"/>
      <c r="X65" s="457">
        <f>505870359-13107328</f>
        <v>492763031</v>
      </c>
      <c r="Y65" s="457"/>
      <c r="Z65" s="457"/>
      <c r="AA65" s="457"/>
      <c r="AB65" s="457"/>
      <c r="AC65" s="457"/>
      <c r="AD65" s="457"/>
      <c r="AE65" s="457"/>
      <c r="AF65" s="457"/>
      <c r="AG65" s="457"/>
      <c r="AH65" s="457"/>
      <c r="AI65" s="457">
        <v>92186007</v>
      </c>
      <c r="AJ65" s="457"/>
      <c r="AK65" s="457"/>
      <c r="AL65" s="457"/>
      <c r="AM65" s="457"/>
      <c r="AN65" s="457"/>
      <c r="AO65" s="457"/>
      <c r="AP65" s="457"/>
      <c r="AQ65" s="457"/>
      <c r="AR65" s="457">
        <f>763000000+36000000+24000000</f>
        <v>823000000</v>
      </c>
      <c r="AS65" s="457">
        <v>300000000</v>
      </c>
      <c r="AT65" s="457"/>
      <c r="AU65" s="457"/>
      <c r="AV65" s="457"/>
      <c r="AW65" s="457"/>
      <c r="AX65" s="457"/>
      <c r="AY65" s="457">
        <f>SUM(AZ65:BA65)</f>
        <v>0</v>
      </c>
      <c r="AZ65" s="457">
        <f>SUM(BB65:BI65)+SUM(BQ65:BX65)</f>
        <v>0</v>
      </c>
      <c r="BA65" s="457">
        <f>SUM(BJ65:BP65)+SUM(BY65:CC65)</f>
        <v>0</v>
      </c>
      <c r="BB65" s="457"/>
      <c r="BC65" s="457"/>
      <c r="BD65" s="457"/>
      <c r="BE65" s="457"/>
      <c r="BF65" s="457"/>
      <c r="BG65" s="457"/>
      <c r="BH65" s="457"/>
      <c r="BI65" s="457"/>
      <c r="BJ65" s="457"/>
      <c r="BK65" s="457"/>
      <c r="BL65" s="457"/>
      <c r="BM65" s="457"/>
      <c r="BN65" s="457"/>
      <c r="BO65" s="457"/>
      <c r="BP65" s="457"/>
      <c r="BQ65" s="457"/>
      <c r="BR65" s="457"/>
      <c r="BS65" s="457"/>
      <c r="BT65" s="457"/>
      <c r="BU65" s="457"/>
      <c r="BV65" s="457"/>
      <c r="BW65" s="457"/>
      <c r="BX65" s="457"/>
      <c r="BY65" s="457"/>
      <c r="BZ65" s="457"/>
      <c r="CA65" s="457"/>
      <c r="CB65" s="457"/>
      <c r="CC65" s="457"/>
      <c r="CD65" s="457">
        <f>SUM(CE65:CF65)</f>
        <v>0</v>
      </c>
      <c r="CE65" s="457">
        <f>SUM(CG65:CI65)</f>
        <v>0</v>
      </c>
      <c r="CF65" s="457">
        <f>SUM(CJ65:CQ65)</f>
        <v>0</v>
      </c>
      <c r="CG65" s="457"/>
      <c r="CH65" s="457"/>
      <c r="CI65" s="457"/>
      <c r="CJ65" s="457"/>
      <c r="CK65" s="457"/>
      <c r="CL65" s="457"/>
      <c r="CM65" s="457"/>
      <c r="CN65" s="457"/>
      <c r="CO65" s="457"/>
      <c r="CP65" s="457"/>
      <c r="CQ65" s="457"/>
      <c r="CR65" s="453" t="s">
        <v>251</v>
      </c>
      <c r="CS65" s="457">
        <f>CT65+CZ65+EO65+FT65+GH65</f>
        <v>1685402495</v>
      </c>
      <c r="CT65" s="457">
        <f>SUM(CU65:CY65)</f>
        <v>0</v>
      </c>
      <c r="CU65" s="457"/>
      <c r="CV65" s="457"/>
      <c r="CW65" s="457"/>
      <c r="CX65" s="457"/>
      <c r="CY65" s="457"/>
      <c r="CZ65" s="457">
        <f>SUM(DA65:EN65)</f>
        <v>1685402492</v>
      </c>
      <c r="DA65" s="457"/>
      <c r="DB65" s="457"/>
      <c r="DC65" s="457"/>
      <c r="DD65" s="457"/>
      <c r="DE65" s="457"/>
      <c r="DF65" s="457"/>
      <c r="DG65" s="457"/>
      <c r="DH65" s="457"/>
      <c r="DI65" s="457"/>
      <c r="DJ65" s="457"/>
      <c r="DK65" s="457"/>
      <c r="DL65" s="457"/>
      <c r="DM65" s="457"/>
      <c r="DN65" s="457">
        <v>492763031</v>
      </c>
      <c r="DO65" s="457"/>
      <c r="DP65" s="457"/>
      <c r="DQ65" s="457"/>
      <c r="DR65" s="457"/>
      <c r="DS65" s="457"/>
      <c r="DT65" s="457"/>
      <c r="DU65" s="457"/>
      <c r="DV65" s="457"/>
      <c r="DW65" s="457"/>
      <c r="DX65" s="457"/>
      <c r="DY65" s="457">
        <v>92186007</v>
      </c>
      <c r="DZ65" s="457"/>
      <c r="EA65" s="457"/>
      <c r="EB65" s="457"/>
      <c r="EC65" s="457"/>
      <c r="ED65" s="457"/>
      <c r="EE65" s="457"/>
      <c r="EF65" s="457"/>
      <c r="EG65" s="457"/>
      <c r="EH65" s="457">
        <f>35940000+762999997+24000000</f>
        <v>822939997</v>
      </c>
      <c r="EI65" s="457">
        <v>277513457</v>
      </c>
      <c r="EJ65" s="457"/>
      <c r="EK65" s="457"/>
      <c r="EL65" s="457"/>
      <c r="EM65" s="457"/>
      <c r="EN65" s="457"/>
      <c r="EO65" s="457">
        <f>SUM(EP65:EQ65)</f>
        <v>0</v>
      </c>
      <c r="EP65" s="457">
        <f>SUM(ER65:EY65)+SUM(FG65:FN65)</f>
        <v>0</v>
      </c>
      <c r="EQ65" s="457">
        <f>SUM(EZ65:FF65)+SUM(FO65:FS65)</f>
        <v>0</v>
      </c>
      <c r="ER65" s="457"/>
      <c r="ES65" s="457"/>
      <c r="ET65" s="457"/>
      <c r="EU65" s="457"/>
      <c r="EV65" s="457"/>
      <c r="EW65" s="457"/>
      <c r="EX65" s="457"/>
      <c r="EY65" s="457"/>
      <c r="EZ65" s="457"/>
      <c r="FA65" s="457"/>
      <c r="FB65" s="457"/>
      <c r="FC65" s="457"/>
      <c r="FD65" s="457"/>
      <c r="FE65" s="457"/>
      <c r="FF65" s="457"/>
      <c r="FG65" s="457"/>
      <c r="FH65" s="457"/>
      <c r="FI65" s="457"/>
      <c r="FJ65" s="457"/>
      <c r="FK65" s="457"/>
      <c r="FL65" s="457"/>
      <c r="FM65" s="457"/>
      <c r="FN65" s="457"/>
      <c r="FO65" s="457"/>
      <c r="FP65" s="457"/>
      <c r="FQ65" s="457"/>
      <c r="FR65" s="457"/>
      <c r="FS65" s="457"/>
      <c r="FT65" s="457">
        <f>SUM(FU65:FV65)</f>
        <v>0</v>
      </c>
      <c r="FU65" s="457">
        <f>SUM(FW65:FY65)</f>
        <v>0</v>
      </c>
      <c r="FV65" s="457">
        <f>SUM(FZ65:GG65)</f>
        <v>0</v>
      </c>
      <c r="FW65" s="457"/>
      <c r="FX65" s="457"/>
      <c r="FY65" s="457"/>
      <c r="FZ65" s="457"/>
      <c r="GA65" s="457"/>
      <c r="GB65" s="457"/>
      <c r="GC65" s="457"/>
      <c r="GD65" s="457"/>
      <c r="GE65" s="457"/>
      <c r="GF65" s="457"/>
      <c r="GG65" s="457"/>
      <c r="GH65" s="457">
        <v>3</v>
      </c>
      <c r="GI65" s="453" t="s">
        <v>251</v>
      </c>
      <c r="GJ65" s="455">
        <f>CS65/C65</f>
        <v>0.9867990540125238</v>
      </c>
      <c r="GK65" s="455"/>
      <c r="GL65" s="455">
        <f>CZ65/J65</f>
        <v>0.986799052256031</v>
      </c>
      <c r="GM65" s="455"/>
      <c r="GN65" s="455"/>
    </row>
    <row r="66" spans="1:196" s="456" customFormat="1" ht="15" customHeight="1">
      <c r="A66" s="452">
        <v>18</v>
      </c>
      <c r="B66" s="453" t="s">
        <v>267</v>
      </c>
      <c r="C66" s="457">
        <f aca="true" t="shared" si="105" ref="C66:H66">C67+C68</f>
        <v>210460607</v>
      </c>
      <c r="D66" s="457">
        <f t="shared" si="105"/>
        <v>0</v>
      </c>
      <c r="E66" s="457">
        <f t="shared" si="105"/>
        <v>0</v>
      </c>
      <c r="F66" s="457">
        <f t="shared" si="105"/>
        <v>0</v>
      </c>
      <c r="G66" s="457">
        <f t="shared" si="105"/>
        <v>0</v>
      </c>
      <c r="H66" s="457">
        <f t="shared" si="105"/>
        <v>0</v>
      </c>
      <c r="I66" s="457">
        <f aca="true" t="shared" si="106" ref="I66:BY66">I67+I68</f>
        <v>0</v>
      </c>
      <c r="J66" s="457">
        <f>J67+J68</f>
        <v>210460607</v>
      </c>
      <c r="K66" s="457">
        <f t="shared" si="106"/>
        <v>0</v>
      </c>
      <c r="L66" s="457">
        <f>L67+L68</f>
        <v>0</v>
      </c>
      <c r="M66" s="457">
        <f t="shared" si="106"/>
        <v>0</v>
      </c>
      <c r="N66" s="457">
        <f t="shared" si="106"/>
        <v>0</v>
      </c>
      <c r="O66" s="457">
        <f t="shared" si="106"/>
        <v>0</v>
      </c>
      <c r="P66" s="457">
        <f t="shared" si="106"/>
        <v>0</v>
      </c>
      <c r="Q66" s="457">
        <f t="shared" si="106"/>
        <v>0</v>
      </c>
      <c r="R66" s="457">
        <f t="shared" si="106"/>
        <v>0</v>
      </c>
      <c r="S66" s="457">
        <f>S67+S68</f>
        <v>0</v>
      </c>
      <c r="T66" s="457">
        <f t="shared" si="106"/>
        <v>0</v>
      </c>
      <c r="U66" s="457">
        <f t="shared" si="106"/>
        <v>0</v>
      </c>
      <c r="V66" s="457">
        <f>V67+V68</f>
        <v>0</v>
      </c>
      <c r="W66" s="457">
        <f>W67+W68</f>
        <v>0</v>
      </c>
      <c r="X66" s="457">
        <f t="shared" si="106"/>
        <v>0</v>
      </c>
      <c r="Y66" s="457">
        <f t="shared" si="106"/>
        <v>0</v>
      </c>
      <c r="Z66" s="457">
        <f t="shared" si="106"/>
        <v>0</v>
      </c>
      <c r="AA66" s="457">
        <f t="shared" si="106"/>
        <v>0</v>
      </c>
      <c r="AB66" s="457">
        <f t="shared" si="106"/>
        <v>0</v>
      </c>
      <c r="AC66" s="457">
        <f t="shared" si="106"/>
        <v>0</v>
      </c>
      <c r="AD66" s="457">
        <f t="shared" si="106"/>
        <v>0</v>
      </c>
      <c r="AE66" s="457">
        <f t="shared" si="106"/>
        <v>0</v>
      </c>
      <c r="AF66" s="457">
        <f t="shared" si="106"/>
        <v>0</v>
      </c>
      <c r="AG66" s="457">
        <f>AG67+AG68</f>
        <v>0</v>
      </c>
      <c r="AH66" s="457">
        <f t="shared" si="106"/>
        <v>0</v>
      </c>
      <c r="AI66" s="457">
        <f t="shared" si="106"/>
        <v>0</v>
      </c>
      <c r="AJ66" s="457">
        <f t="shared" si="106"/>
        <v>0</v>
      </c>
      <c r="AK66" s="457">
        <f t="shared" si="106"/>
        <v>0</v>
      </c>
      <c r="AL66" s="457">
        <f t="shared" si="106"/>
        <v>0</v>
      </c>
      <c r="AM66" s="457">
        <f t="shared" si="106"/>
        <v>0</v>
      </c>
      <c r="AN66" s="457">
        <f t="shared" si="106"/>
        <v>0</v>
      </c>
      <c r="AO66" s="457">
        <f t="shared" si="106"/>
        <v>0</v>
      </c>
      <c r="AP66" s="457">
        <f t="shared" si="106"/>
        <v>0</v>
      </c>
      <c r="AQ66" s="457">
        <f>AQ67+AQ68</f>
        <v>0</v>
      </c>
      <c r="AR66" s="457">
        <f>AR67+AR68</f>
        <v>190144607</v>
      </c>
      <c r="AS66" s="457">
        <f t="shared" si="106"/>
        <v>20316000</v>
      </c>
      <c r="AT66" s="457">
        <f t="shared" si="106"/>
        <v>0</v>
      </c>
      <c r="AU66" s="457">
        <f t="shared" si="106"/>
        <v>0</v>
      </c>
      <c r="AV66" s="457">
        <f>AV67+AV68</f>
        <v>0</v>
      </c>
      <c r="AW66" s="457">
        <f t="shared" si="106"/>
        <v>0</v>
      </c>
      <c r="AX66" s="457">
        <f t="shared" si="106"/>
        <v>0</v>
      </c>
      <c r="AY66" s="457">
        <f>AY67+AY68</f>
        <v>0</v>
      </c>
      <c r="AZ66" s="457">
        <f>AZ67+AZ68</f>
        <v>0</v>
      </c>
      <c r="BA66" s="457">
        <f>BA67+BA68</f>
        <v>0</v>
      </c>
      <c r="BB66" s="457">
        <f t="shared" si="106"/>
        <v>0</v>
      </c>
      <c r="BC66" s="457">
        <f t="shared" si="106"/>
        <v>0</v>
      </c>
      <c r="BD66" s="457">
        <f t="shared" si="106"/>
        <v>0</v>
      </c>
      <c r="BE66" s="457">
        <f t="shared" si="106"/>
        <v>0</v>
      </c>
      <c r="BF66" s="457">
        <f t="shared" si="106"/>
        <v>0</v>
      </c>
      <c r="BG66" s="457">
        <f t="shared" si="106"/>
        <v>0</v>
      </c>
      <c r="BH66" s="457">
        <f t="shared" si="106"/>
        <v>0</v>
      </c>
      <c r="BI66" s="457">
        <f>BI67+BI68</f>
        <v>0</v>
      </c>
      <c r="BJ66" s="457">
        <f t="shared" si="106"/>
        <v>0</v>
      </c>
      <c r="BK66" s="457">
        <f t="shared" si="106"/>
        <v>0</v>
      </c>
      <c r="BL66" s="457">
        <f t="shared" si="106"/>
        <v>0</v>
      </c>
      <c r="BM66" s="457">
        <f t="shared" si="106"/>
        <v>0</v>
      </c>
      <c r="BN66" s="457">
        <f>BN67+BN68</f>
        <v>0</v>
      </c>
      <c r="BO66" s="457">
        <f t="shared" si="106"/>
        <v>0</v>
      </c>
      <c r="BP66" s="457">
        <f t="shared" si="106"/>
        <v>0</v>
      </c>
      <c r="BQ66" s="457">
        <f t="shared" si="106"/>
        <v>0</v>
      </c>
      <c r="BR66" s="457">
        <f t="shared" si="106"/>
        <v>0</v>
      </c>
      <c r="BS66" s="457">
        <f t="shared" si="106"/>
        <v>0</v>
      </c>
      <c r="BT66" s="457">
        <f t="shared" si="106"/>
        <v>0</v>
      </c>
      <c r="BU66" s="457">
        <f t="shared" si="106"/>
        <v>0</v>
      </c>
      <c r="BV66" s="457">
        <f t="shared" si="106"/>
        <v>0</v>
      </c>
      <c r="BW66" s="457">
        <f t="shared" si="106"/>
        <v>0</v>
      </c>
      <c r="BX66" s="457">
        <f t="shared" si="106"/>
        <v>0</v>
      </c>
      <c r="BY66" s="457">
        <f t="shared" si="106"/>
        <v>0</v>
      </c>
      <c r="BZ66" s="457">
        <f aca="true" t="shared" si="107" ref="BZ66:CP66">BZ67+BZ68</f>
        <v>0</v>
      </c>
      <c r="CA66" s="457">
        <f>CA67+CA68</f>
        <v>0</v>
      </c>
      <c r="CB66" s="457">
        <f t="shared" si="107"/>
        <v>0</v>
      </c>
      <c r="CC66" s="457">
        <f t="shared" si="107"/>
        <v>0</v>
      </c>
      <c r="CD66" s="457">
        <f t="shared" si="107"/>
        <v>0</v>
      </c>
      <c r="CE66" s="457">
        <f>CE67+CE68</f>
        <v>0</v>
      </c>
      <c r="CF66" s="457">
        <f>CF67+CF68</f>
        <v>0</v>
      </c>
      <c r="CG66" s="457">
        <f t="shared" si="107"/>
        <v>0</v>
      </c>
      <c r="CH66" s="457">
        <f>CH67+CH68</f>
        <v>0</v>
      </c>
      <c r="CI66" s="457">
        <f>CI67+CI68</f>
        <v>0</v>
      </c>
      <c r="CJ66" s="457">
        <f t="shared" si="107"/>
        <v>0</v>
      </c>
      <c r="CK66" s="457">
        <f t="shared" si="107"/>
        <v>0</v>
      </c>
      <c r="CL66" s="457">
        <f t="shared" si="107"/>
        <v>0</v>
      </c>
      <c r="CM66" s="457">
        <f t="shared" si="107"/>
        <v>0</v>
      </c>
      <c r="CN66" s="457">
        <f t="shared" si="107"/>
        <v>0</v>
      </c>
      <c r="CO66" s="457">
        <f t="shared" si="107"/>
        <v>0</v>
      </c>
      <c r="CP66" s="457">
        <f t="shared" si="107"/>
        <v>0</v>
      </c>
      <c r="CQ66" s="457">
        <f>CQ67+CQ68</f>
        <v>0</v>
      </c>
      <c r="CR66" s="453" t="s">
        <v>267</v>
      </c>
      <c r="CS66" s="457">
        <f aca="true" t="shared" si="108" ref="CS66:FI66">CS67+CS68</f>
        <v>210460607</v>
      </c>
      <c r="CT66" s="457">
        <f t="shared" si="108"/>
        <v>0</v>
      </c>
      <c r="CU66" s="457">
        <f t="shared" si="108"/>
        <v>0</v>
      </c>
      <c r="CV66" s="457">
        <f>CV67+CV68</f>
        <v>0</v>
      </c>
      <c r="CW66" s="457">
        <f>CW67+CW68</f>
        <v>0</v>
      </c>
      <c r="CX66" s="457">
        <f>CX67+CX68</f>
        <v>0</v>
      </c>
      <c r="CY66" s="457">
        <f t="shared" si="108"/>
        <v>0</v>
      </c>
      <c r="CZ66" s="457">
        <f t="shared" si="108"/>
        <v>210460607</v>
      </c>
      <c r="DA66" s="457">
        <f t="shared" si="108"/>
        <v>0</v>
      </c>
      <c r="DB66" s="457">
        <f>DB67+DB68</f>
        <v>0</v>
      </c>
      <c r="DC66" s="457">
        <f t="shared" si="108"/>
        <v>0</v>
      </c>
      <c r="DD66" s="457">
        <f t="shared" si="108"/>
        <v>0</v>
      </c>
      <c r="DE66" s="457">
        <f t="shared" si="108"/>
        <v>0</v>
      </c>
      <c r="DF66" s="457">
        <f t="shared" si="108"/>
        <v>0</v>
      </c>
      <c r="DG66" s="457">
        <f t="shared" si="108"/>
        <v>0</v>
      </c>
      <c r="DH66" s="457">
        <f t="shared" si="108"/>
        <v>0</v>
      </c>
      <c r="DI66" s="457">
        <f>DI67+DI68</f>
        <v>0</v>
      </c>
      <c r="DJ66" s="457">
        <f t="shared" si="108"/>
        <v>0</v>
      </c>
      <c r="DK66" s="457">
        <f t="shared" si="108"/>
        <v>0</v>
      </c>
      <c r="DL66" s="457">
        <f>DL67+DL68</f>
        <v>0</v>
      </c>
      <c r="DM66" s="457">
        <f>DM67+DM68</f>
        <v>0</v>
      </c>
      <c r="DN66" s="457">
        <f t="shared" si="108"/>
        <v>0</v>
      </c>
      <c r="DO66" s="457">
        <f t="shared" si="108"/>
        <v>0</v>
      </c>
      <c r="DP66" s="457">
        <f t="shared" si="108"/>
        <v>0</v>
      </c>
      <c r="DQ66" s="457">
        <f t="shared" si="108"/>
        <v>0</v>
      </c>
      <c r="DR66" s="457">
        <f t="shared" si="108"/>
        <v>0</v>
      </c>
      <c r="DS66" s="457">
        <f t="shared" si="108"/>
        <v>0</v>
      </c>
      <c r="DT66" s="457">
        <f t="shared" si="108"/>
        <v>0</v>
      </c>
      <c r="DU66" s="457">
        <f t="shared" si="108"/>
        <v>0</v>
      </c>
      <c r="DV66" s="457">
        <f t="shared" si="108"/>
        <v>0</v>
      </c>
      <c r="DW66" s="457">
        <f>DW67+DW68</f>
        <v>0</v>
      </c>
      <c r="DX66" s="457">
        <f t="shared" si="108"/>
        <v>0</v>
      </c>
      <c r="DY66" s="457">
        <f t="shared" si="108"/>
        <v>0</v>
      </c>
      <c r="DZ66" s="457">
        <f t="shared" si="108"/>
        <v>0</v>
      </c>
      <c r="EA66" s="457">
        <f t="shared" si="108"/>
        <v>0</v>
      </c>
      <c r="EB66" s="457">
        <f t="shared" si="108"/>
        <v>0</v>
      </c>
      <c r="EC66" s="457">
        <f t="shared" si="108"/>
        <v>0</v>
      </c>
      <c r="ED66" s="457">
        <f t="shared" si="108"/>
        <v>0</v>
      </c>
      <c r="EE66" s="457">
        <f t="shared" si="108"/>
        <v>0</v>
      </c>
      <c r="EF66" s="457">
        <f t="shared" si="108"/>
        <v>0</v>
      </c>
      <c r="EG66" s="457">
        <f>EG67+EG68</f>
        <v>0</v>
      </c>
      <c r="EH66" s="457">
        <f>EH67+EH68</f>
        <v>190144607</v>
      </c>
      <c r="EI66" s="457">
        <f t="shared" si="108"/>
        <v>20316000</v>
      </c>
      <c r="EJ66" s="457">
        <f t="shared" si="108"/>
        <v>0</v>
      </c>
      <c r="EK66" s="457">
        <f t="shared" si="108"/>
        <v>0</v>
      </c>
      <c r="EL66" s="457">
        <f>EL67+EL68</f>
        <v>0</v>
      </c>
      <c r="EM66" s="457">
        <f t="shared" si="108"/>
        <v>0</v>
      </c>
      <c r="EN66" s="457">
        <f t="shared" si="108"/>
        <v>0</v>
      </c>
      <c r="EO66" s="457">
        <f t="shared" si="108"/>
        <v>0</v>
      </c>
      <c r="EP66" s="457">
        <f t="shared" si="108"/>
        <v>0</v>
      </c>
      <c r="EQ66" s="457">
        <f t="shared" si="108"/>
        <v>0</v>
      </c>
      <c r="ER66" s="457">
        <f t="shared" si="108"/>
        <v>0</v>
      </c>
      <c r="ES66" s="457">
        <f t="shared" si="108"/>
        <v>0</v>
      </c>
      <c r="ET66" s="457">
        <f t="shared" si="108"/>
        <v>0</v>
      </c>
      <c r="EU66" s="457">
        <f t="shared" si="108"/>
        <v>0</v>
      </c>
      <c r="EV66" s="457">
        <f t="shared" si="108"/>
        <v>0</v>
      </c>
      <c r="EW66" s="457">
        <f t="shared" si="108"/>
        <v>0</v>
      </c>
      <c r="EX66" s="457">
        <f t="shared" si="108"/>
        <v>0</v>
      </c>
      <c r="EY66" s="457">
        <f>EY67+EY68</f>
        <v>0</v>
      </c>
      <c r="EZ66" s="457">
        <f t="shared" si="108"/>
        <v>0</v>
      </c>
      <c r="FA66" s="457">
        <f t="shared" si="108"/>
        <v>0</v>
      </c>
      <c r="FB66" s="457">
        <f t="shared" si="108"/>
        <v>0</v>
      </c>
      <c r="FC66" s="457">
        <f t="shared" si="108"/>
        <v>0</v>
      </c>
      <c r="FD66" s="457">
        <f>FD67+FD68</f>
        <v>0</v>
      </c>
      <c r="FE66" s="457">
        <f t="shared" si="108"/>
        <v>0</v>
      </c>
      <c r="FF66" s="457">
        <f t="shared" si="108"/>
        <v>0</v>
      </c>
      <c r="FG66" s="457">
        <f t="shared" si="108"/>
        <v>0</v>
      </c>
      <c r="FH66" s="457">
        <f t="shared" si="108"/>
        <v>0</v>
      </c>
      <c r="FI66" s="457">
        <f t="shared" si="108"/>
        <v>0</v>
      </c>
      <c r="FJ66" s="457">
        <f aca="true" t="shared" si="109" ref="FJ66:GF66">FJ67+FJ68</f>
        <v>0</v>
      </c>
      <c r="FK66" s="457">
        <f t="shared" si="109"/>
        <v>0</v>
      </c>
      <c r="FL66" s="457">
        <f t="shared" si="109"/>
        <v>0</v>
      </c>
      <c r="FM66" s="457">
        <f t="shared" si="109"/>
        <v>0</v>
      </c>
      <c r="FN66" s="457">
        <f t="shared" si="109"/>
        <v>0</v>
      </c>
      <c r="FO66" s="457">
        <f t="shared" si="109"/>
        <v>0</v>
      </c>
      <c r="FP66" s="457">
        <f t="shared" si="109"/>
        <v>0</v>
      </c>
      <c r="FQ66" s="457">
        <f>FQ67+FQ68</f>
        <v>0</v>
      </c>
      <c r="FR66" s="457">
        <f t="shared" si="109"/>
        <v>0</v>
      </c>
      <c r="FS66" s="457">
        <f t="shared" si="109"/>
        <v>0</v>
      </c>
      <c r="FT66" s="457">
        <f t="shared" si="109"/>
        <v>0</v>
      </c>
      <c r="FU66" s="457">
        <f t="shared" si="109"/>
        <v>0</v>
      </c>
      <c r="FV66" s="457">
        <f t="shared" si="109"/>
        <v>0</v>
      </c>
      <c r="FW66" s="457">
        <f t="shared" si="109"/>
        <v>0</v>
      </c>
      <c r="FX66" s="457">
        <f>FX67+FX68</f>
        <v>0</v>
      </c>
      <c r="FY66" s="457"/>
      <c r="FZ66" s="457">
        <f t="shared" si="109"/>
        <v>0</v>
      </c>
      <c r="GA66" s="457">
        <f t="shared" si="109"/>
        <v>0</v>
      </c>
      <c r="GB66" s="457">
        <f t="shared" si="109"/>
        <v>0</v>
      </c>
      <c r="GC66" s="457">
        <f t="shared" si="109"/>
        <v>0</v>
      </c>
      <c r="GD66" s="457">
        <f t="shared" si="109"/>
        <v>0</v>
      </c>
      <c r="GE66" s="457">
        <f t="shared" si="109"/>
        <v>0</v>
      </c>
      <c r="GF66" s="457">
        <f t="shared" si="109"/>
        <v>0</v>
      </c>
      <c r="GG66" s="457">
        <f>GG67+GG68</f>
        <v>0</v>
      </c>
      <c r="GH66" s="457">
        <f>GH67+GH68</f>
        <v>0</v>
      </c>
      <c r="GI66" s="453" t="s">
        <v>267</v>
      </c>
      <c r="GJ66" s="455">
        <f>CS66/C66</f>
        <v>1</v>
      </c>
      <c r="GK66" s="455"/>
      <c r="GL66" s="455">
        <f>CZ66/J66</f>
        <v>1</v>
      </c>
      <c r="GM66" s="455"/>
      <c r="GN66" s="455"/>
    </row>
    <row r="67" spans="1:196" s="456" customFormat="1" ht="15" customHeight="1" hidden="1">
      <c r="A67" s="452"/>
      <c r="B67" s="453" t="s">
        <v>250</v>
      </c>
      <c r="C67" s="457">
        <f>D67+J67+AY67+CD67</f>
        <v>0</v>
      </c>
      <c r="D67" s="457">
        <f>SUM(E67:I67)</f>
        <v>0</v>
      </c>
      <c r="E67" s="457"/>
      <c r="F67" s="457"/>
      <c r="G67" s="457"/>
      <c r="H67" s="457"/>
      <c r="I67" s="457"/>
      <c r="J67" s="457">
        <f>SUM(K67:AX67)</f>
        <v>0</v>
      </c>
      <c r="K67" s="457"/>
      <c r="L67" s="457"/>
      <c r="M67" s="457"/>
      <c r="N67" s="457"/>
      <c r="O67" s="457"/>
      <c r="P67" s="457"/>
      <c r="Q67" s="457"/>
      <c r="R67" s="457"/>
      <c r="S67" s="457"/>
      <c r="T67" s="457"/>
      <c r="U67" s="457"/>
      <c r="V67" s="457"/>
      <c r="W67" s="457"/>
      <c r="X67" s="457"/>
      <c r="Y67" s="457"/>
      <c r="Z67" s="457"/>
      <c r="AA67" s="457"/>
      <c r="AB67" s="457"/>
      <c r="AC67" s="457"/>
      <c r="AD67" s="457"/>
      <c r="AE67" s="457"/>
      <c r="AF67" s="457"/>
      <c r="AG67" s="457"/>
      <c r="AH67" s="457"/>
      <c r="AI67" s="457"/>
      <c r="AJ67" s="457"/>
      <c r="AK67" s="457"/>
      <c r="AL67" s="457"/>
      <c r="AM67" s="457"/>
      <c r="AN67" s="457"/>
      <c r="AO67" s="457"/>
      <c r="AP67" s="457"/>
      <c r="AQ67" s="457"/>
      <c r="AR67" s="457"/>
      <c r="AS67" s="457"/>
      <c r="AT67" s="457"/>
      <c r="AU67" s="457"/>
      <c r="AV67" s="457"/>
      <c r="AW67" s="457"/>
      <c r="AX67" s="457"/>
      <c r="AY67" s="457">
        <f>SUM(AZ67:BA67)</f>
        <v>0</v>
      </c>
      <c r="AZ67" s="457">
        <f>SUM(BB67:BI67)+SUM(BQ67:BX67)</f>
        <v>0</v>
      </c>
      <c r="BA67" s="457">
        <f>SUM(BJ67:BP67)+SUM(BY67:CC67)</f>
        <v>0</v>
      </c>
      <c r="BB67" s="457"/>
      <c r="BC67" s="457"/>
      <c r="BD67" s="457"/>
      <c r="BE67" s="457"/>
      <c r="BF67" s="457"/>
      <c r="BG67" s="457"/>
      <c r="BH67" s="457"/>
      <c r="BI67" s="457"/>
      <c r="BJ67" s="457"/>
      <c r="BK67" s="457"/>
      <c r="BL67" s="457"/>
      <c r="BM67" s="457"/>
      <c r="BN67" s="457"/>
      <c r="BO67" s="457"/>
      <c r="BP67" s="457"/>
      <c r="BQ67" s="457"/>
      <c r="BR67" s="457"/>
      <c r="BS67" s="457"/>
      <c r="BT67" s="457"/>
      <c r="BU67" s="457"/>
      <c r="BV67" s="457"/>
      <c r="BW67" s="457"/>
      <c r="BX67" s="457"/>
      <c r="BY67" s="457"/>
      <c r="BZ67" s="457"/>
      <c r="CA67" s="457"/>
      <c r="CB67" s="457"/>
      <c r="CC67" s="457"/>
      <c r="CD67" s="457">
        <f>SUM(CE67:CF67)</f>
        <v>0</v>
      </c>
      <c r="CE67" s="457">
        <f>SUM(CG67:CI67)</f>
        <v>0</v>
      </c>
      <c r="CF67" s="457">
        <f>SUM(CJ67:CQ67)</f>
        <v>0</v>
      </c>
      <c r="CG67" s="457"/>
      <c r="CH67" s="457"/>
      <c r="CI67" s="457"/>
      <c r="CJ67" s="457"/>
      <c r="CK67" s="457"/>
      <c r="CL67" s="457"/>
      <c r="CM67" s="457"/>
      <c r="CN67" s="457"/>
      <c r="CO67" s="457"/>
      <c r="CP67" s="457"/>
      <c r="CQ67" s="457"/>
      <c r="CR67" s="453" t="s">
        <v>250</v>
      </c>
      <c r="CS67" s="457">
        <f>CT67+CZ67+EO67+FT67+GH67</f>
        <v>0</v>
      </c>
      <c r="CT67" s="457">
        <f>SUM(CU67:CY67)</f>
        <v>0</v>
      </c>
      <c r="CU67" s="457"/>
      <c r="CV67" s="457"/>
      <c r="CW67" s="457"/>
      <c r="CX67" s="457"/>
      <c r="CY67" s="457"/>
      <c r="CZ67" s="457">
        <f>SUM(DA67:EN67)</f>
        <v>0</v>
      </c>
      <c r="DA67" s="457"/>
      <c r="DB67" s="457"/>
      <c r="DC67" s="457"/>
      <c r="DD67" s="457"/>
      <c r="DE67" s="457"/>
      <c r="DF67" s="457"/>
      <c r="DG67" s="457"/>
      <c r="DH67" s="457"/>
      <c r="DI67" s="457"/>
      <c r="DJ67" s="457"/>
      <c r="DK67" s="457"/>
      <c r="DL67" s="457"/>
      <c r="DM67" s="457"/>
      <c r="DN67" s="457"/>
      <c r="DO67" s="457"/>
      <c r="DP67" s="457"/>
      <c r="DQ67" s="457"/>
      <c r="DR67" s="457"/>
      <c r="DS67" s="457"/>
      <c r="DT67" s="457"/>
      <c r="DU67" s="457"/>
      <c r="DV67" s="457"/>
      <c r="DW67" s="457"/>
      <c r="DX67" s="457"/>
      <c r="DY67" s="457"/>
      <c r="DZ67" s="457"/>
      <c r="EA67" s="457"/>
      <c r="EB67" s="457"/>
      <c r="EC67" s="457"/>
      <c r="ED67" s="457"/>
      <c r="EE67" s="457"/>
      <c r="EF67" s="457"/>
      <c r="EG67" s="457"/>
      <c r="EH67" s="457"/>
      <c r="EI67" s="457"/>
      <c r="EJ67" s="457"/>
      <c r="EK67" s="457"/>
      <c r="EL67" s="457"/>
      <c r="EM67" s="457"/>
      <c r="EN67" s="457"/>
      <c r="EO67" s="457">
        <f>SUM(EP67:EQ67)</f>
        <v>0</v>
      </c>
      <c r="EP67" s="457">
        <f>SUM(ER67:EY67)+SUM(FG67:FN67)</f>
        <v>0</v>
      </c>
      <c r="EQ67" s="457">
        <f>SUM(EZ67:FF67)+SUM(FO67:FS67)</f>
        <v>0</v>
      </c>
      <c r="ER67" s="457"/>
      <c r="ES67" s="457"/>
      <c r="ET67" s="457"/>
      <c r="EU67" s="457"/>
      <c r="EV67" s="457"/>
      <c r="EW67" s="457"/>
      <c r="EX67" s="457"/>
      <c r="EY67" s="457"/>
      <c r="EZ67" s="457"/>
      <c r="FA67" s="457"/>
      <c r="FB67" s="457"/>
      <c r="FC67" s="457"/>
      <c r="FD67" s="457"/>
      <c r="FE67" s="457"/>
      <c r="FF67" s="457"/>
      <c r="FG67" s="457"/>
      <c r="FH67" s="457"/>
      <c r="FI67" s="457"/>
      <c r="FJ67" s="457"/>
      <c r="FK67" s="457"/>
      <c r="FL67" s="457"/>
      <c r="FM67" s="457"/>
      <c r="FN67" s="457"/>
      <c r="FO67" s="457"/>
      <c r="FP67" s="457"/>
      <c r="FQ67" s="457"/>
      <c r="FR67" s="457"/>
      <c r="FS67" s="457"/>
      <c r="FT67" s="457">
        <f>SUM(FU67:FV67)</f>
        <v>0</v>
      </c>
      <c r="FU67" s="457">
        <f>SUM(FW67:FY67)</f>
        <v>0</v>
      </c>
      <c r="FV67" s="457">
        <f>SUM(FZ67:GG67)</f>
        <v>0</v>
      </c>
      <c r="FW67" s="457"/>
      <c r="FX67" s="457"/>
      <c r="FY67" s="457"/>
      <c r="FZ67" s="457"/>
      <c r="GA67" s="457"/>
      <c r="GB67" s="457"/>
      <c r="GC67" s="457"/>
      <c r="GD67" s="457"/>
      <c r="GE67" s="457"/>
      <c r="GF67" s="457"/>
      <c r="GG67" s="457"/>
      <c r="GH67" s="457"/>
      <c r="GI67" s="453" t="s">
        <v>250</v>
      </c>
      <c r="GJ67" s="455"/>
      <c r="GK67" s="455"/>
      <c r="GL67" s="455"/>
      <c r="GM67" s="455"/>
      <c r="GN67" s="455"/>
    </row>
    <row r="68" spans="1:196" s="456" customFormat="1" ht="15" customHeight="1" hidden="1">
      <c r="A68" s="452"/>
      <c r="B68" s="453" t="s">
        <v>251</v>
      </c>
      <c r="C68" s="457">
        <f>D68+J68+AY68+CD68</f>
        <v>210460607</v>
      </c>
      <c r="D68" s="457">
        <f>SUM(E68:I68)</f>
        <v>0</v>
      </c>
      <c r="E68" s="457"/>
      <c r="F68" s="457"/>
      <c r="G68" s="457"/>
      <c r="H68" s="457"/>
      <c r="I68" s="457"/>
      <c r="J68" s="457">
        <f>SUM(K68:AX68)</f>
        <v>210460607</v>
      </c>
      <c r="K68" s="457"/>
      <c r="L68" s="457"/>
      <c r="M68" s="457"/>
      <c r="N68" s="457"/>
      <c r="O68" s="457"/>
      <c r="P68" s="457"/>
      <c r="Q68" s="457"/>
      <c r="R68" s="457"/>
      <c r="S68" s="457"/>
      <c r="T68" s="457"/>
      <c r="U68" s="457"/>
      <c r="V68" s="457"/>
      <c r="W68" s="457"/>
      <c r="X68" s="457"/>
      <c r="Y68" s="457"/>
      <c r="Z68" s="457"/>
      <c r="AA68" s="457"/>
      <c r="AB68" s="457"/>
      <c r="AC68" s="457"/>
      <c r="AD68" s="457"/>
      <c r="AE68" s="457"/>
      <c r="AF68" s="457"/>
      <c r="AG68" s="457"/>
      <c r="AH68" s="457"/>
      <c r="AI68" s="457"/>
      <c r="AJ68" s="457"/>
      <c r="AK68" s="457"/>
      <c r="AL68" s="457"/>
      <c r="AM68" s="457"/>
      <c r="AN68" s="457"/>
      <c r="AO68" s="457"/>
      <c r="AP68" s="457"/>
      <c r="AQ68" s="457"/>
      <c r="AR68" s="457">
        <v>190144607</v>
      </c>
      <c r="AS68" s="457">
        <v>20316000</v>
      </c>
      <c r="AT68" s="457"/>
      <c r="AU68" s="457"/>
      <c r="AV68" s="457"/>
      <c r="AW68" s="457"/>
      <c r="AX68" s="457"/>
      <c r="AY68" s="457">
        <f>SUM(AZ68:BA68)</f>
        <v>0</v>
      </c>
      <c r="AZ68" s="457">
        <f>SUM(BB68:BI68)+SUM(BQ68:BX68)</f>
        <v>0</v>
      </c>
      <c r="BA68" s="457">
        <f>SUM(BJ68:BP68)+SUM(BY68:CC68)</f>
        <v>0</v>
      </c>
      <c r="BB68" s="457"/>
      <c r="BC68" s="457"/>
      <c r="BD68" s="457"/>
      <c r="BE68" s="457"/>
      <c r="BF68" s="457"/>
      <c r="BG68" s="457"/>
      <c r="BH68" s="457"/>
      <c r="BI68" s="457"/>
      <c r="BJ68" s="457"/>
      <c r="BK68" s="457"/>
      <c r="BL68" s="457"/>
      <c r="BM68" s="457"/>
      <c r="BN68" s="457"/>
      <c r="BO68" s="457"/>
      <c r="BP68" s="457"/>
      <c r="BQ68" s="457"/>
      <c r="BR68" s="457"/>
      <c r="BS68" s="457"/>
      <c r="BT68" s="457"/>
      <c r="BU68" s="457"/>
      <c r="BV68" s="457"/>
      <c r="BW68" s="457"/>
      <c r="BX68" s="457"/>
      <c r="BY68" s="457"/>
      <c r="BZ68" s="457"/>
      <c r="CA68" s="457"/>
      <c r="CB68" s="457"/>
      <c r="CC68" s="457"/>
      <c r="CD68" s="457">
        <f>SUM(CE68:CF68)</f>
        <v>0</v>
      </c>
      <c r="CE68" s="457">
        <f>SUM(CG68:CI68)</f>
        <v>0</v>
      </c>
      <c r="CF68" s="457">
        <f>SUM(CJ68:CQ68)</f>
        <v>0</v>
      </c>
      <c r="CG68" s="457"/>
      <c r="CH68" s="457"/>
      <c r="CI68" s="457"/>
      <c r="CJ68" s="457"/>
      <c r="CK68" s="457"/>
      <c r="CL68" s="457"/>
      <c r="CM68" s="457"/>
      <c r="CN68" s="457"/>
      <c r="CO68" s="457"/>
      <c r="CP68" s="457"/>
      <c r="CQ68" s="457"/>
      <c r="CR68" s="453" t="s">
        <v>251</v>
      </c>
      <c r="CS68" s="457">
        <f>CT68+CZ68+EO68+FT68+GH68</f>
        <v>210460607</v>
      </c>
      <c r="CT68" s="457">
        <f>SUM(CU68:CY68)</f>
        <v>0</v>
      </c>
      <c r="CU68" s="457"/>
      <c r="CV68" s="457"/>
      <c r="CW68" s="457"/>
      <c r="CX68" s="457"/>
      <c r="CY68" s="457"/>
      <c r="CZ68" s="457">
        <f>SUM(DA68:EN68)</f>
        <v>210460607</v>
      </c>
      <c r="DA68" s="457"/>
      <c r="DB68" s="457"/>
      <c r="DC68" s="457"/>
      <c r="DD68" s="457"/>
      <c r="DE68" s="457"/>
      <c r="DF68" s="457"/>
      <c r="DG68" s="457"/>
      <c r="DH68" s="457"/>
      <c r="DI68" s="457"/>
      <c r="DJ68" s="457"/>
      <c r="DK68" s="457"/>
      <c r="DL68" s="457"/>
      <c r="DM68" s="457"/>
      <c r="DN68" s="457"/>
      <c r="DO68" s="457"/>
      <c r="DP68" s="457"/>
      <c r="DQ68" s="457"/>
      <c r="DR68" s="457"/>
      <c r="DS68" s="457"/>
      <c r="DT68" s="457"/>
      <c r="DU68" s="457"/>
      <c r="DV68" s="457"/>
      <c r="DW68" s="457"/>
      <c r="DX68" s="457"/>
      <c r="DY68" s="457"/>
      <c r="DZ68" s="457"/>
      <c r="EA68" s="457"/>
      <c r="EB68" s="457"/>
      <c r="EC68" s="457"/>
      <c r="ED68" s="457"/>
      <c r="EE68" s="457"/>
      <c r="EF68" s="457"/>
      <c r="EG68" s="457"/>
      <c r="EH68" s="457">
        <v>190144607</v>
      </c>
      <c r="EI68" s="457">
        <v>20316000</v>
      </c>
      <c r="EJ68" s="457"/>
      <c r="EK68" s="457"/>
      <c r="EL68" s="457"/>
      <c r="EM68" s="457"/>
      <c r="EN68" s="457"/>
      <c r="EO68" s="457">
        <f>SUM(EP68:EQ68)</f>
        <v>0</v>
      </c>
      <c r="EP68" s="457">
        <f>SUM(ER68:EY68)+SUM(FG68:FN68)</f>
        <v>0</v>
      </c>
      <c r="EQ68" s="457">
        <f>SUM(EZ68:FF68)+SUM(FO68:FS68)</f>
        <v>0</v>
      </c>
      <c r="ER68" s="457"/>
      <c r="ES68" s="457"/>
      <c r="ET68" s="457"/>
      <c r="EU68" s="457"/>
      <c r="EV68" s="457"/>
      <c r="EW68" s="457"/>
      <c r="EX68" s="457"/>
      <c r="EY68" s="457"/>
      <c r="EZ68" s="457"/>
      <c r="FA68" s="457"/>
      <c r="FB68" s="457"/>
      <c r="FC68" s="457"/>
      <c r="FD68" s="457"/>
      <c r="FE68" s="457"/>
      <c r="FF68" s="457"/>
      <c r="FG68" s="457"/>
      <c r="FH68" s="457"/>
      <c r="FI68" s="457"/>
      <c r="FJ68" s="457"/>
      <c r="FK68" s="457"/>
      <c r="FL68" s="457"/>
      <c r="FM68" s="457"/>
      <c r="FN68" s="457"/>
      <c r="FO68" s="457"/>
      <c r="FP68" s="457"/>
      <c r="FQ68" s="457"/>
      <c r="FR68" s="457"/>
      <c r="FS68" s="457"/>
      <c r="FT68" s="457">
        <f>SUM(FU68:FV68)</f>
        <v>0</v>
      </c>
      <c r="FU68" s="457">
        <f>SUM(FW68:FY68)</f>
        <v>0</v>
      </c>
      <c r="FV68" s="457">
        <f>SUM(FZ68:GG68)</f>
        <v>0</v>
      </c>
      <c r="FW68" s="457"/>
      <c r="FX68" s="457"/>
      <c r="FY68" s="457"/>
      <c r="FZ68" s="457"/>
      <c r="GA68" s="457"/>
      <c r="GB68" s="457"/>
      <c r="GC68" s="457"/>
      <c r="GD68" s="457"/>
      <c r="GE68" s="457"/>
      <c r="GF68" s="457"/>
      <c r="GG68" s="457"/>
      <c r="GH68" s="457"/>
      <c r="GI68" s="453" t="s">
        <v>251</v>
      </c>
      <c r="GJ68" s="455">
        <f>CS68/C68</f>
        <v>1</v>
      </c>
      <c r="GK68" s="455"/>
      <c r="GL68" s="455">
        <f>CZ68/J68</f>
        <v>1</v>
      </c>
      <c r="GM68" s="455"/>
      <c r="GN68" s="455"/>
    </row>
    <row r="69" spans="1:196" s="456" customFormat="1" ht="15" customHeight="1">
      <c r="A69" s="452">
        <v>19</v>
      </c>
      <c r="B69" s="453" t="s">
        <v>265</v>
      </c>
      <c r="C69" s="457">
        <f aca="true" t="shared" si="110" ref="C69:H69">C70+C71</f>
        <v>1664901000</v>
      </c>
      <c r="D69" s="457">
        <f t="shared" si="110"/>
        <v>500000000</v>
      </c>
      <c r="E69" s="457">
        <f t="shared" si="110"/>
        <v>0</v>
      </c>
      <c r="F69" s="457">
        <f t="shared" si="110"/>
        <v>0</v>
      </c>
      <c r="G69" s="457">
        <f t="shared" si="110"/>
        <v>0</v>
      </c>
      <c r="H69" s="457">
        <f t="shared" si="110"/>
        <v>500000000</v>
      </c>
      <c r="I69" s="457">
        <f aca="true" t="shared" si="111" ref="I69:BY69">I70+I71</f>
        <v>0</v>
      </c>
      <c r="J69" s="457">
        <f>J70+J71</f>
        <v>1164901000</v>
      </c>
      <c r="K69" s="457">
        <f t="shared" si="111"/>
        <v>0</v>
      </c>
      <c r="L69" s="457">
        <f>L70+L71</f>
        <v>0</v>
      </c>
      <c r="M69" s="457">
        <f t="shared" si="111"/>
        <v>0</v>
      </c>
      <c r="N69" s="457">
        <f t="shared" si="111"/>
        <v>0</v>
      </c>
      <c r="O69" s="457">
        <f t="shared" si="111"/>
        <v>0</v>
      </c>
      <c r="P69" s="457">
        <f t="shared" si="111"/>
        <v>0</v>
      </c>
      <c r="Q69" s="457">
        <f t="shared" si="111"/>
        <v>0</v>
      </c>
      <c r="R69" s="457">
        <f t="shared" si="111"/>
        <v>0</v>
      </c>
      <c r="S69" s="457">
        <f>S70+S71</f>
        <v>0</v>
      </c>
      <c r="T69" s="457">
        <f t="shared" si="111"/>
        <v>0</v>
      </c>
      <c r="U69" s="457">
        <f t="shared" si="111"/>
        <v>0</v>
      </c>
      <c r="V69" s="457">
        <f>V70+V71</f>
        <v>0</v>
      </c>
      <c r="W69" s="457">
        <f>W70+W71</f>
        <v>0</v>
      </c>
      <c r="X69" s="457">
        <f t="shared" si="111"/>
        <v>0</v>
      </c>
      <c r="Y69" s="457">
        <f t="shared" si="111"/>
        <v>0</v>
      </c>
      <c r="Z69" s="457">
        <f t="shared" si="111"/>
        <v>0</v>
      </c>
      <c r="AA69" s="457">
        <f t="shared" si="111"/>
        <v>0</v>
      </c>
      <c r="AB69" s="457">
        <f t="shared" si="111"/>
        <v>0</v>
      </c>
      <c r="AC69" s="457">
        <f t="shared" si="111"/>
        <v>0</v>
      </c>
      <c r="AD69" s="457">
        <f t="shared" si="111"/>
        <v>0</v>
      </c>
      <c r="AE69" s="457">
        <f t="shared" si="111"/>
        <v>0</v>
      </c>
      <c r="AF69" s="457">
        <f t="shared" si="111"/>
        <v>0</v>
      </c>
      <c r="AG69" s="457">
        <f>AG70+AG71</f>
        <v>0</v>
      </c>
      <c r="AH69" s="457">
        <f t="shared" si="111"/>
        <v>0</v>
      </c>
      <c r="AI69" s="457">
        <f t="shared" si="111"/>
        <v>0</v>
      </c>
      <c r="AJ69" s="457">
        <f t="shared" si="111"/>
        <v>0</v>
      </c>
      <c r="AK69" s="457">
        <f t="shared" si="111"/>
        <v>0</v>
      </c>
      <c r="AL69" s="457">
        <f t="shared" si="111"/>
        <v>0</v>
      </c>
      <c r="AM69" s="457">
        <f t="shared" si="111"/>
        <v>0</v>
      </c>
      <c r="AN69" s="457">
        <f t="shared" si="111"/>
        <v>0</v>
      </c>
      <c r="AO69" s="457">
        <f t="shared" si="111"/>
        <v>0</v>
      </c>
      <c r="AP69" s="457">
        <f t="shared" si="111"/>
        <v>0</v>
      </c>
      <c r="AQ69" s="457">
        <f>AQ70+AQ71</f>
        <v>0</v>
      </c>
      <c r="AR69" s="457">
        <f>AR70+AR71</f>
        <v>383297000</v>
      </c>
      <c r="AS69" s="457">
        <f t="shared" si="111"/>
        <v>781604000</v>
      </c>
      <c r="AT69" s="457">
        <f t="shared" si="111"/>
        <v>0</v>
      </c>
      <c r="AU69" s="457">
        <f t="shared" si="111"/>
        <v>0</v>
      </c>
      <c r="AV69" s="457">
        <f>AV70+AV71</f>
        <v>0</v>
      </c>
      <c r="AW69" s="457">
        <f t="shared" si="111"/>
        <v>0</v>
      </c>
      <c r="AX69" s="457">
        <f t="shared" si="111"/>
        <v>0</v>
      </c>
      <c r="AY69" s="457">
        <f>AY70+AY71</f>
        <v>0</v>
      </c>
      <c r="AZ69" s="457">
        <f>AZ70+AZ71</f>
        <v>0</v>
      </c>
      <c r="BA69" s="457">
        <f>BA70+BA71</f>
        <v>0</v>
      </c>
      <c r="BB69" s="457">
        <f t="shared" si="111"/>
        <v>0</v>
      </c>
      <c r="BC69" s="457">
        <f t="shared" si="111"/>
        <v>0</v>
      </c>
      <c r="BD69" s="457">
        <f t="shared" si="111"/>
        <v>0</v>
      </c>
      <c r="BE69" s="457">
        <f t="shared" si="111"/>
        <v>0</v>
      </c>
      <c r="BF69" s="457">
        <f t="shared" si="111"/>
        <v>0</v>
      </c>
      <c r="BG69" s="457">
        <f t="shared" si="111"/>
        <v>0</v>
      </c>
      <c r="BH69" s="457">
        <f t="shared" si="111"/>
        <v>0</v>
      </c>
      <c r="BI69" s="457">
        <f>BI70+BI71</f>
        <v>0</v>
      </c>
      <c r="BJ69" s="457">
        <f t="shared" si="111"/>
        <v>0</v>
      </c>
      <c r="BK69" s="457">
        <f t="shared" si="111"/>
        <v>0</v>
      </c>
      <c r="BL69" s="457">
        <f t="shared" si="111"/>
        <v>0</v>
      </c>
      <c r="BM69" s="457">
        <f t="shared" si="111"/>
        <v>0</v>
      </c>
      <c r="BN69" s="457">
        <f>BN70+BN71</f>
        <v>0</v>
      </c>
      <c r="BO69" s="457">
        <f t="shared" si="111"/>
        <v>0</v>
      </c>
      <c r="BP69" s="457">
        <f t="shared" si="111"/>
        <v>0</v>
      </c>
      <c r="BQ69" s="457">
        <f t="shared" si="111"/>
        <v>0</v>
      </c>
      <c r="BR69" s="457">
        <f t="shared" si="111"/>
        <v>0</v>
      </c>
      <c r="BS69" s="457">
        <f t="shared" si="111"/>
        <v>0</v>
      </c>
      <c r="BT69" s="457">
        <f t="shared" si="111"/>
        <v>0</v>
      </c>
      <c r="BU69" s="457">
        <f t="shared" si="111"/>
        <v>0</v>
      </c>
      <c r="BV69" s="457">
        <f t="shared" si="111"/>
        <v>0</v>
      </c>
      <c r="BW69" s="457">
        <f t="shared" si="111"/>
        <v>0</v>
      </c>
      <c r="BX69" s="457">
        <f t="shared" si="111"/>
        <v>0</v>
      </c>
      <c r="BY69" s="457">
        <f t="shared" si="111"/>
        <v>0</v>
      </c>
      <c r="BZ69" s="457">
        <f aca="true" t="shared" si="112" ref="BZ69:CP69">BZ70+BZ71</f>
        <v>0</v>
      </c>
      <c r="CA69" s="457">
        <f>CA70+CA71</f>
        <v>0</v>
      </c>
      <c r="CB69" s="457">
        <f t="shared" si="112"/>
        <v>0</v>
      </c>
      <c r="CC69" s="457">
        <f t="shared" si="112"/>
        <v>0</v>
      </c>
      <c r="CD69" s="457">
        <f>CD70+CD71</f>
        <v>0</v>
      </c>
      <c r="CE69" s="457">
        <f t="shared" si="112"/>
        <v>0</v>
      </c>
      <c r="CF69" s="457">
        <f t="shared" si="112"/>
        <v>0</v>
      </c>
      <c r="CG69" s="457">
        <f t="shared" si="112"/>
        <v>0</v>
      </c>
      <c r="CH69" s="457">
        <f>CH70+CH71</f>
        <v>0</v>
      </c>
      <c r="CI69" s="457">
        <f>CI70+CI71</f>
        <v>0</v>
      </c>
      <c r="CJ69" s="457">
        <f t="shared" si="112"/>
        <v>0</v>
      </c>
      <c r="CK69" s="457">
        <f t="shared" si="112"/>
        <v>0</v>
      </c>
      <c r="CL69" s="457">
        <f t="shared" si="112"/>
        <v>0</v>
      </c>
      <c r="CM69" s="457">
        <f t="shared" si="112"/>
        <v>0</v>
      </c>
      <c r="CN69" s="457">
        <f t="shared" si="112"/>
        <v>0</v>
      </c>
      <c r="CO69" s="457">
        <f t="shared" si="112"/>
        <v>0</v>
      </c>
      <c r="CP69" s="457">
        <f t="shared" si="112"/>
        <v>0</v>
      </c>
      <c r="CQ69" s="457">
        <f>CQ70+CQ71</f>
        <v>0</v>
      </c>
      <c r="CR69" s="453" t="s">
        <v>265</v>
      </c>
      <c r="CS69" s="457">
        <f>CS70+CS71</f>
        <v>1664901000</v>
      </c>
      <c r="CT69" s="457">
        <f aca="true" t="shared" si="113" ref="CT69:FJ69">CT70+CT71</f>
        <v>500000000</v>
      </c>
      <c r="CU69" s="457">
        <f t="shared" si="113"/>
        <v>0</v>
      </c>
      <c r="CV69" s="457">
        <f>CV70+CV71</f>
        <v>0</v>
      </c>
      <c r="CW69" s="457">
        <f>CW70+CW71</f>
        <v>0</v>
      </c>
      <c r="CX69" s="457">
        <f>CX70+CX71</f>
        <v>500000000</v>
      </c>
      <c r="CY69" s="457">
        <f t="shared" si="113"/>
        <v>0</v>
      </c>
      <c r="CZ69" s="457">
        <f t="shared" si="113"/>
        <v>1164901000</v>
      </c>
      <c r="DA69" s="457">
        <f t="shared" si="113"/>
        <v>0</v>
      </c>
      <c r="DB69" s="457">
        <f>DB70+DB71</f>
        <v>0</v>
      </c>
      <c r="DC69" s="457">
        <f t="shared" si="113"/>
        <v>0</v>
      </c>
      <c r="DD69" s="457">
        <f t="shared" si="113"/>
        <v>0</v>
      </c>
      <c r="DE69" s="457">
        <f t="shared" si="113"/>
        <v>0</v>
      </c>
      <c r="DF69" s="457">
        <f t="shared" si="113"/>
        <v>0</v>
      </c>
      <c r="DG69" s="457">
        <f t="shared" si="113"/>
        <v>0</v>
      </c>
      <c r="DH69" s="457">
        <f t="shared" si="113"/>
        <v>0</v>
      </c>
      <c r="DI69" s="457">
        <f>DI70+DI71</f>
        <v>0</v>
      </c>
      <c r="DJ69" s="457">
        <f t="shared" si="113"/>
        <v>0</v>
      </c>
      <c r="DK69" s="457">
        <f t="shared" si="113"/>
        <v>0</v>
      </c>
      <c r="DL69" s="457">
        <f>DL70+DL71</f>
        <v>0</v>
      </c>
      <c r="DM69" s="457">
        <f>DM70+DM71</f>
        <v>0</v>
      </c>
      <c r="DN69" s="457">
        <f t="shared" si="113"/>
        <v>0</v>
      </c>
      <c r="DO69" s="457">
        <f t="shared" si="113"/>
        <v>0</v>
      </c>
      <c r="DP69" s="457">
        <f t="shared" si="113"/>
        <v>0</v>
      </c>
      <c r="DQ69" s="457">
        <f t="shared" si="113"/>
        <v>0</v>
      </c>
      <c r="DR69" s="457">
        <f t="shared" si="113"/>
        <v>0</v>
      </c>
      <c r="DS69" s="457">
        <f t="shared" si="113"/>
        <v>0</v>
      </c>
      <c r="DT69" s="457">
        <f t="shared" si="113"/>
        <v>0</v>
      </c>
      <c r="DU69" s="457">
        <f t="shared" si="113"/>
        <v>0</v>
      </c>
      <c r="DV69" s="457">
        <f t="shared" si="113"/>
        <v>0</v>
      </c>
      <c r="DW69" s="457">
        <f>DW70+DW71</f>
        <v>0</v>
      </c>
      <c r="DX69" s="457">
        <f t="shared" si="113"/>
        <v>0</v>
      </c>
      <c r="DY69" s="457">
        <f t="shared" si="113"/>
        <v>0</v>
      </c>
      <c r="DZ69" s="457">
        <f t="shared" si="113"/>
        <v>0</v>
      </c>
      <c r="EA69" s="457">
        <f t="shared" si="113"/>
        <v>0</v>
      </c>
      <c r="EB69" s="457">
        <f t="shared" si="113"/>
        <v>0</v>
      </c>
      <c r="EC69" s="457">
        <f t="shared" si="113"/>
        <v>0</v>
      </c>
      <c r="ED69" s="457">
        <f t="shared" si="113"/>
        <v>0</v>
      </c>
      <c r="EE69" s="457">
        <f t="shared" si="113"/>
        <v>0</v>
      </c>
      <c r="EF69" s="457">
        <f t="shared" si="113"/>
        <v>0</v>
      </c>
      <c r="EG69" s="457">
        <f>EG70+EG71</f>
        <v>0</v>
      </c>
      <c r="EH69" s="457">
        <f>EH70+EH71</f>
        <v>383297000</v>
      </c>
      <c r="EI69" s="457">
        <f>EI70+EI71</f>
        <v>781604000</v>
      </c>
      <c r="EJ69" s="457">
        <f t="shared" si="113"/>
        <v>0</v>
      </c>
      <c r="EK69" s="457">
        <f t="shared" si="113"/>
        <v>0</v>
      </c>
      <c r="EL69" s="457">
        <f>EL70+EL71</f>
        <v>0</v>
      </c>
      <c r="EM69" s="457">
        <f t="shared" si="113"/>
        <v>0</v>
      </c>
      <c r="EN69" s="457">
        <f t="shared" si="113"/>
        <v>0</v>
      </c>
      <c r="EO69" s="457">
        <f t="shared" si="113"/>
        <v>0</v>
      </c>
      <c r="EP69" s="457">
        <f t="shared" si="113"/>
        <v>0</v>
      </c>
      <c r="EQ69" s="457">
        <f t="shared" si="113"/>
        <v>0</v>
      </c>
      <c r="ER69" s="457">
        <f t="shared" si="113"/>
        <v>0</v>
      </c>
      <c r="ES69" s="457">
        <f t="shared" si="113"/>
        <v>0</v>
      </c>
      <c r="ET69" s="457">
        <f t="shared" si="113"/>
        <v>0</v>
      </c>
      <c r="EU69" s="457">
        <f t="shared" si="113"/>
        <v>0</v>
      </c>
      <c r="EV69" s="457">
        <f t="shared" si="113"/>
        <v>0</v>
      </c>
      <c r="EW69" s="457">
        <f t="shared" si="113"/>
        <v>0</v>
      </c>
      <c r="EX69" s="457">
        <f t="shared" si="113"/>
        <v>0</v>
      </c>
      <c r="EY69" s="457">
        <f>EY70+EY71</f>
        <v>0</v>
      </c>
      <c r="EZ69" s="457">
        <f t="shared" si="113"/>
        <v>0</v>
      </c>
      <c r="FA69" s="457">
        <f t="shared" si="113"/>
        <v>0</v>
      </c>
      <c r="FB69" s="457">
        <f t="shared" si="113"/>
        <v>0</v>
      </c>
      <c r="FC69" s="457">
        <f t="shared" si="113"/>
        <v>0</v>
      </c>
      <c r="FD69" s="457">
        <f>FD70+FD71</f>
        <v>0</v>
      </c>
      <c r="FE69" s="457">
        <f t="shared" si="113"/>
        <v>0</v>
      </c>
      <c r="FF69" s="457">
        <f t="shared" si="113"/>
        <v>0</v>
      </c>
      <c r="FG69" s="457">
        <f t="shared" si="113"/>
        <v>0</v>
      </c>
      <c r="FH69" s="457">
        <f t="shared" si="113"/>
        <v>0</v>
      </c>
      <c r="FI69" s="457">
        <f t="shared" si="113"/>
        <v>0</v>
      </c>
      <c r="FJ69" s="457">
        <f t="shared" si="113"/>
        <v>0</v>
      </c>
      <c r="FK69" s="457">
        <f aca="true" t="shared" si="114" ref="FK69:FS69">FK70+FK71</f>
        <v>0</v>
      </c>
      <c r="FL69" s="457">
        <f t="shared" si="114"/>
        <v>0</v>
      </c>
      <c r="FM69" s="457">
        <f t="shared" si="114"/>
        <v>0</v>
      </c>
      <c r="FN69" s="457">
        <f t="shared" si="114"/>
        <v>0</v>
      </c>
      <c r="FO69" s="457">
        <f t="shared" si="114"/>
        <v>0</v>
      </c>
      <c r="FP69" s="457">
        <f t="shared" si="114"/>
        <v>0</v>
      </c>
      <c r="FQ69" s="457">
        <f>FQ70+FQ71</f>
        <v>0</v>
      </c>
      <c r="FR69" s="457">
        <f t="shared" si="114"/>
        <v>0</v>
      </c>
      <c r="FS69" s="457">
        <f t="shared" si="114"/>
        <v>0</v>
      </c>
      <c r="FT69" s="457">
        <f>FT70+FT71</f>
        <v>0</v>
      </c>
      <c r="FU69" s="457">
        <f aca="true" t="shared" si="115" ref="FU69:GF69">FU70+FU71</f>
        <v>0</v>
      </c>
      <c r="FV69" s="457">
        <f t="shared" si="115"/>
        <v>0</v>
      </c>
      <c r="FW69" s="457">
        <f t="shared" si="115"/>
        <v>0</v>
      </c>
      <c r="FX69" s="457">
        <f>FX70+FX71</f>
        <v>0</v>
      </c>
      <c r="FY69" s="457"/>
      <c r="FZ69" s="457">
        <f t="shared" si="115"/>
        <v>0</v>
      </c>
      <c r="GA69" s="457">
        <f t="shared" si="115"/>
        <v>0</v>
      </c>
      <c r="GB69" s="457">
        <f t="shared" si="115"/>
        <v>0</v>
      </c>
      <c r="GC69" s="457">
        <f t="shared" si="115"/>
        <v>0</v>
      </c>
      <c r="GD69" s="457">
        <f t="shared" si="115"/>
        <v>0</v>
      </c>
      <c r="GE69" s="457">
        <f t="shared" si="115"/>
        <v>0</v>
      </c>
      <c r="GF69" s="457">
        <f t="shared" si="115"/>
        <v>0</v>
      </c>
      <c r="GG69" s="457">
        <f>GG70+GG71</f>
        <v>0</v>
      </c>
      <c r="GH69" s="457">
        <f>GH70+GH71</f>
        <v>0</v>
      </c>
      <c r="GI69" s="453" t="s">
        <v>265</v>
      </c>
      <c r="GJ69" s="455">
        <f>CS69/C69</f>
        <v>1</v>
      </c>
      <c r="GK69" s="455">
        <f>CT69/D69</f>
        <v>1</v>
      </c>
      <c r="GL69" s="455">
        <f>CZ69/J69</f>
        <v>1</v>
      </c>
      <c r="GM69" s="455"/>
      <c r="GN69" s="455"/>
    </row>
    <row r="70" spans="1:196" s="456" customFormat="1" ht="15" customHeight="1" hidden="1">
      <c r="A70" s="452"/>
      <c r="B70" s="453" t="s">
        <v>250</v>
      </c>
      <c r="C70" s="457">
        <f>D70+J70+AY70+CD70</f>
        <v>500000000</v>
      </c>
      <c r="D70" s="457">
        <f>SUM(E70:I70)</f>
        <v>500000000</v>
      </c>
      <c r="E70" s="457"/>
      <c r="F70" s="457"/>
      <c r="G70" s="457"/>
      <c r="H70" s="457">
        <v>500000000</v>
      </c>
      <c r="I70" s="457"/>
      <c r="J70" s="457">
        <f>SUM(K70:AX70)</f>
        <v>0</v>
      </c>
      <c r="K70" s="457"/>
      <c r="L70" s="457"/>
      <c r="M70" s="457"/>
      <c r="N70" s="457"/>
      <c r="O70" s="457"/>
      <c r="P70" s="457"/>
      <c r="Q70" s="457"/>
      <c r="R70" s="457"/>
      <c r="S70" s="457"/>
      <c r="T70" s="457"/>
      <c r="U70" s="457"/>
      <c r="V70" s="457"/>
      <c r="W70" s="457"/>
      <c r="X70" s="457"/>
      <c r="Y70" s="457"/>
      <c r="Z70" s="457"/>
      <c r="AA70" s="457"/>
      <c r="AB70" s="457"/>
      <c r="AC70" s="457"/>
      <c r="AD70" s="457"/>
      <c r="AE70" s="457"/>
      <c r="AF70" s="457"/>
      <c r="AG70" s="457"/>
      <c r="AH70" s="457"/>
      <c r="AI70" s="457"/>
      <c r="AJ70" s="457"/>
      <c r="AK70" s="457"/>
      <c r="AL70" s="457"/>
      <c r="AM70" s="457"/>
      <c r="AN70" s="457"/>
      <c r="AO70" s="457"/>
      <c r="AP70" s="457"/>
      <c r="AQ70" s="457"/>
      <c r="AR70" s="457"/>
      <c r="AS70" s="457"/>
      <c r="AT70" s="457"/>
      <c r="AU70" s="457"/>
      <c r="AV70" s="457"/>
      <c r="AW70" s="457"/>
      <c r="AX70" s="457"/>
      <c r="AY70" s="457">
        <f>SUM(AZ70:BA70)</f>
        <v>0</v>
      </c>
      <c r="AZ70" s="457">
        <f>SUM(BB70:BI70)+SUM(BQ70:BX70)</f>
        <v>0</v>
      </c>
      <c r="BA70" s="457">
        <f>SUM(BJ70:BP70)+SUM(BY70:CC70)</f>
        <v>0</v>
      </c>
      <c r="BB70" s="457"/>
      <c r="BC70" s="457"/>
      <c r="BD70" s="457"/>
      <c r="BE70" s="457"/>
      <c r="BF70" s="457"/>
      <c r="BG70" s="457"/>
      <c r="BH70" s="457"/>
      <c r="BI70" s="457"/>
      <c r="BJ70" s="457"/>
      <c r="BK70" s="457"/>
      <c r="BL70" s="457"/>
      <c r="BM70" s="457"/>
      <c r="BN70" s="457"/>
      <c r="BO70" s="457"/>
      <c r="BP70" s="457"/>
      <c r="BQ70" s="457"/>
      <c r="BR70" s="457"/>
      <c r="BS70" s="457"/>
      <c r="BT70" s="457"/>
      <c r="BU70" s="457"/>
      <c r="BV70" s="457"/>
      <c r="BW70" s="457"/>
      <c r="BX70" s="457"/>
      <c r="BY70" s="457"/>
      <c r="BZ70" s="457"/>
      <c r="CA70" s="457"/>
      <c r="CB70" s="457"/>
      <c r="CC70" s="457"/>
      <c r="CD70" s="457">
        <f>SUM(CE70:CF70)</f>
        <v>0</v>
      </c>
      <c r="CE70" s="457">
        <f>SUM(CG70:CI70)</f>
        <v>0</v>
      </c>
      <c r="CF70" s="457">
        <f>SUM(CJ70:CQ70)</f>
        <v>0</v>
      </c>
      <c r="CG70" s="457"/>
      <c r="CH70" s="457"/>
      <c r="CI70" s="457"/>
      <c r="CJ70" s="457"/>
      <c r="CK70" s="457"/>
      <c r="CL70" s="457"/>
      <c r="CM70" s="457"/>
      <c r="CN70" s="457"/>
      <c r="CO70" s="457"/>
      <c r="CP70" s="457"/>
      <c r="CQ70" s="457"/>
      <c r="CR70" s="453" t="s">
        <v>250</v>
      </c>
      <c r="CS70" s="457">
        <f>CT70+CZ70+EO70+FT70+GH70</f>
        <v>500000000</v>
      </c>
      <c r="CT70" s="457">
        <f>SUM(CU70:CY70)</f>
        <v>500000000</v>
      </c>
      <c r="CU70" s="457"/>
      <c r="CV70" s="457"/>
      <c r="CW70" s="457"/>
      <c r="CX70" s="457">
        <v>500000000</v>
      </c>
      <c r="CY70" s="457"/>
      <c r="CZ70" s="457">
        <f>SUM(DA70:EN70)</f>
        <v>0</v>
      </c>
      <c r="DA70" s="457"/>
      <c r="DB70" s="457"/>
      <c r="DC70" s="457"/>
      <c r="DD70" s="457"/>
      <c r="DE70" s="457"/>
      <c r="DF70" s="457"/>
      <c r="DG70" s="457"/>
      <c r="DH70" s="457"/>
      <c r="DI70" s="457"/>
      <c r="DJ70" s="457"/>
      <c r="DK70" s="457"/>
      <c r="DL70" s="457"/>
      <c r="DM70" s="457"/>
      <c r="DN70" s="457"/>
      <c r="DO70" s="457"/>
      <c r="DP70" s="457"/>
      <c r="DQ70" s="457"/>
      <c r="DR70" s="457"/>
      <c r="DS70" s="457"/>
      <c r="DT70" s="457"/>
      <c r="DU70" s="457"/>
      <c r="DV70" s="457"/>
      <c r="DW70" s="457"/>
      <c r="DX70" s="457"/>
      <c r="DY70" s="457"/>
      <c r="DZ70" s="457"/>
      <c r="EA70" s="457"/>
      <c r="EB70" s="457"/>
      <c r="EC70" s="457"/>
      <c r="ED70" s="457"/>
      <c r="EE70" s="457"/>
      <c r="EF70" s="457"/>
      <c r="EG70" s="457"/>
      <c r="EH70" s="457"/>
      <c r="EI70" s="457"/>
      <c r="EJ70" s="457"/>
      <c r="EK70" s="457"/>
      <c r="EL70" s="457"/>
      <c r="EM70" s="457"/>
      <c r="EN70" s="457"/>
      <c r="EO70" s="457">
        <f>SUM(EP70:EQ70)</f>
        <v>0</v>
      </c>
      <c r="EP70" s="457">
        <f>SUM(ER70:EY70)+SUM(FG70:FN70)</f>
        <v>0</v>
      </c>
      <c r="EQ70" s="457">
        <f>SUM(EZ70:FF70)+SUM(FO70:FS70)</f>
        <v>0</v>
      </c>
      <c r="ER70" s="457"/>
      <c r="ES70" s="457"/>
      <c r="ET70" s="457"/>
      <c r="EU70" s="457"/>
      <c r="EV70" s="457"/>
      <c r="EW70" s="457"/>
      <c r="EX70" s="457"/>
      <c r="EY70" s="457"/>
      <c r="EZ70" s="457"/>
      <c r="FA70" s="457"/>
      <c r="FB70" s="457"/>
      <c r="FC70" s="457"/>
      <c r="FD70" s="457"/>
      <c r="FE70" s="457"/>
      <c r="FF70" s="457"/>
      <c r="FG70" s="457"/>
      <c r="FH70" s="457"/>
      <c r="FI70" s="457"/>
      <c r="FJ70" s="457"/>
      <c r="FK70" s="457"/>
      <c r="FL70" s="457"/>
      <c r="FM70" s="457"/>
      <c r="FN70" s="457"/>
      <c r="FO70" s="457"/>
      <c r="FP70" s="457"/>
      <c r="FQ70" s="457"/>
      <c r="FR70" s="457"/>
      <c r="FS70" s="457"/>
      <c r="FT70" s="457">
        <f>SUM(FU70:FV70)</f>
        <v>0</v>
      </c>
      <c r="FU70" s="457">
        <f>SUM(FW70:FY70)</f>
        <v>0</v>
      </c>
      <c r="FV70" s="457">
        <f>SUM(FZ70:GG70)</f>
        <v>0</v>
      </c>
      <c r="FW70" s="457"/>
      <c r="FX70" s="457"/>
      <c r="FY70" s="457"/>
      <c r="FZ70" s="457"/>
      <c r="GA70" s="457"/>
      <c r="GB70" s="457"/>
      <c r="GC70" s="457"/>
      <c r="GD70" s="457"/>
      <c r="GE70" s="457"/>
      <c r="GF70" s="457"/>
      <c r="GG70" s="457"/>
      <c r="GH70" s="457"/>
      <c r="GI70" s="453" t="s">
        <v>250</v>
      </c>
      <c r="GJ70" s="455">
        <f>CS70/C70</f>
        <v>1</v>
      </c>
      <c r="GK70" s="455">
        <f>CT70/D70</f>
        <v>1</v>
      </c>
      <c r="GL70" s="455"/>
      <c r="GM70" s="455"/>
      <c r="GN70" s="455"/>
    </row>
    <row r="71" spans="1:196" s="456" customFormat="1" ht="15" customHeight="1" hidden="1">
      <c r="A71" s="452"/>
      <c r="B71" s="453" t="s">
        <v>251</v>
      </c>
      <c r="C71" s="457">
        <f>D71+J71+AY71+CD71</f>
        <v>1164901000</v>
      </c>
      <c r="D71" s="457">
        <f>SUM(E71:I71)</f>
        <v>0</v>
      </c>
      <c r="E71" s="457"/>
      <c r="F71" s="457"/>
      <c r="G71" s="457"/>
      <c r="H71" s="457"/>
      <c r="I71" s="457"/>
      <c r="J71" s="457">
        <f>SUM(K71:AX71)</f>
        <v>1164901000</v>
      </c>
      <c r="K71" s="457"/>
      <c r="L71" s="457"/>
      <c r="M71" s="457"/>
      <c r="N71" s="457"/>
      <c r="O71" s="457"/>
      <c r="P71" s="457"/>
      <c r="Q71" s="457"/>
      <c r="R71" s="457"/>
      <c r="S71" s="457"/>
      <c r="T71" s="457"/>
      <c r="U71" s="457"/>
      <c r="V71" s="457"/>
      <c r="W71" s="457"/>
      <c r="X71" s="457"/>
      <c r="Y71" s="457"/>
      <c r="Z71" s="457"/>
      <c r="AA71" s="457"/>
      <c r="AB71" s="457"/>
      <c r="AC71" s="457"/>
      <c r="AD71" s="457"/>
      <c r="AE71" s="457"/>
      <c r="AF71" s="457"/>
      <c r="AG71" s="457"/>
      <c r="AH71" s="457"/>
      <c r="AI71" s="457"/>
      <c r="AJ71" s="457"/>
      <c r="AK71" s="457"/>
      <c r="AL71" s="457"/>
      <c r="AM71" s="457"/>
      <c r="AN71" s="457"/>
      <c r="AO71" s="457"/>
      <c r="AP71" s="457"/>
      <c r="AQ71" s="457"/>
      <c r="AR71" s="457">
        <v>383297000</v>
      </c>
      <c r="AS71" s="457">
        <v>781604000</v>
      </c>
      <c r="AT71" s="457"/>
      <c r="AU71" s="457"/>
      <c r="AV71" s="457"/>
      <c r="AW71" s="457"/>
      <c r="AX71" s="457"/>
      <c r="AY71" s="457">
        <f>SUM(AZ71:BA71)</f>
        <v>0</v>
      </c>
      <c r="AZ71" s="457">
        <f>SUM(BB71:BI71)+SUM(BQ71:BX71)</f>
        <v>0</v>
      </c>
      <c r="BA71" s="457">
        <f>SUM(BJ71:BP71)+SUM(BY71:CC71)</f>
        <v>0</v>
      </c>
      <c r="BB71" s="457"/>
      <c r="BC71" s="457"/>
      <c r="BD71" s="457"/>
      <c r="BE71" s="457"/>
      <c r="BF71" s="457"/>
      <c r="BG71" s="457"/>
      <c r="BH71" s="457"/>
      <c r="BI71" s="457"/>
      <c r="BJ71" s="457"/>
      <c r="BK71" s="457"/>
      <c r="BL71" s="457"/>
      <c r="BM71" s="457"/>
      <c r="BN71" s="457"/>
      <c r="BO71" s="457"/>
      <c r="BP71" s="457"/>
      <c r="BQ71" s="457"/>
      <c r="BR71" s="457"/>
      <c r="BS71" s="457"/>
      <c r="BT71" s="457"/>
      <c r="BU71" s="457"/>
      <c r="BV71" s="457"/>
      <c r="BW71" s="457"/>
      <c r="BX71" s="457"/>
      <c r="BY71" s="457"/>
      <c r="BZ71" s="457"/>
      <c r="CA71" s="457"/>
      <c r="CB71" s="457"/>
      <c r="CC71" s="457"/>
      <c r="CD71" s="457">
        <f>SUM(CE71:CF71)</f>
        <v>0</v>
      </c>
      <c r="CE71" s="457">
        <f>SUM(CG71:CI71)</f>
        <v>0</v>
      </c>
      <c r="CF71" s="457">
        <f>SUM(CJ71:CQ71)</f>
        <v>0</v>
      </c>
      <c r="CG71" s="457"/>
      <c r="CH71" s="457"/>
      <c r="CI71" s="457"/>
      <c r="CJ71" s="457"/>
      <c r="CK71" s="457"/>
      <c r="CL71" s="457"/>
      <c r="CM71" s="457"/>
      <c r="CN71" s="457"/>
      <c r="CO71" s="457"/>
      <c r="CP71" s="457"/>
      <c r="CQ71" s="457"/>
      <c r="CR71" s="453" t="s">
        <v>251</v>
      </c>
      <c r="CS71" s="457">
        <f>CT71+CZ71+EO71+FT71+GH71</f>
        <v>1164901000</v>
      </c>
      <c r="CT71" s="457">
        <f>SUM(CU71:CY71)</f>
        <v>0</v>
      </c>
      <c r="CU71" s="457"/>
      <c r="CV71" s="457"/>
      <c r="CW71" s="457"/>
      <c r="CX71" s="457"/>
      <c r="CY71" s="457"/>
      <c r="CZ71" s="457">
        <f>SUM(DA71:EN71)</f>
        <v>1164901000</v>
      </c>
      <c r="DA71" s="457"/>
      <c r="DB71" s="457"/>
      <c r="DC71" s="457"/>
      <c r="DD71" s="457"/>
      <c r="DE71" s="457"/>
      <c r="DF71" s="457"/>
      <c r="DG71" s="457"/>
      <c r="DH71" s="457"/>
      <c r="DI71" s="457"/>
      <c r="DJ71" s="457"/>
      <c r="DK71" s="457"/>
      <c r="DL71" s="457"/>
      <c r="DM71" s="457"/>
      <c r="DN71" s="457"/>
      <c r="DO71" s="457"/>
      <c r="DP71" s="457"/>
      <c r="DQ71" s="457"/>
      <c r="DR71" s="457"/>
      <c r="DS71" s="457"/>
      <c r="DT71" s="457"/>
      <c r="DU71" s="457"/>
      <c r="DV71" s="457"/>
      <c r="DW71" s="457"/>
      <c r="DX71" s="457"/>
      <c r="DY71" s="457"/>
      <c r="DZ71" s="457"/>
      <c r="EA71" s="457"/>
      <c r="EB71" s="457"/>
      <c r="EC71" s="457"/>
      <c r="ED71" s="457"/>
      <c r="EE71" s="457"/>
      <c r="EF71" s="457"/>
      <c r="EG71" s="457"/>
      <c r="EH71" s="457">
        <v>383297000</v>
      </c>
      <c r="EI71" s="457">
        <v>781604000</v>
      </c>
      <c r="EJ71" s="457"/>
      <c r="EK71" s="457"/>
      <c r="EL71" s="457"/>
      <c r="EM71" s="457"/>
      <c r="EN71" s="457"/>
      <c r="EO71" s="457">
        <f>SUM(EP71:EQ71)</f>
        <v>0</v>
      </c>
      <c r="EP71" s="457">
        <f>SUM(ER71:EY71)+SUM(FG71:FN71)</f>
        <v>0</v>
      </c>
      <c r="EQ71" s="457">
        <f>SUM(EZ71:FF71)+SUM(FO71:FS71)</f>
        <v>0</v>
      </c>
      <c r="ER71" s="457"/>
      <c r="ES71" s="457"/>
      <c r="ET71" s="457"/>
      <c r="EU71" s="457"/>
      <c r="EV71" s="457"/>
      <c r="EW71" s="457"/>
      <c r="EX71" s="457"/>
      <c r="EY71" s="457"/>
      <c r="EZ71" s="457"/>
      <c r="FA71" s="457"/>
      <c r="FB71" s="457"/>
      <c r="FC71" s="457"/>
      <c r="FD71" s="457"/>
      <c r="FE71" s="457"/>
      <c r="FF71" s="457"/>
      <c r="FG71" s="457"/>
      <c r="FH71" s="457"/>
      <c r="FI71" s="457"/>
      <c r="FJ71" s="457"/>
      <c r="FK71" s="457"/>
      <c r="FL71" s="457"/>
      <c r="FM71" s="457"/>
      <c r="FN71" s="457"/>
      <c r="FO71" s="457"/>
      <c r="FP71" s="457"/>
      <c r="FQ71" s="457"/>
      <c r="FR71" s="457"/>
      <c r="FS71" s="457"/>
      <c r="FT71" s="457">
        <f>SUM(FU71:FV71)</f>
        <v>0</v>
      </c>
      <c r="FU71" s="457">
        <f>SUM(FW71:FY71)</f>
        <v>0</v>
      </c>
      <c r="FV71" s="457">
        <f>SUM(FZ71:GG71)</f>
        <v>0</v>
      </c>
      <c r="FW71" s="457"/>
      <c r="FX71" s="457"/>
      <c r="FY71" s="457"/>
      <c r="FZ71" s="457"/>
      <c r="GA71" s="457"/>
      <c r="GB71" s="457"/>
      <c r="GC71" s="457"/>
      <c r="GD71" s="457"/>
      <c r="GE71" s="457"/>
      <c r="GF71" s="457"/>
      <c r="GG71" s="457"/>
      <c r="GH71" s="457"/>
      <c r="GI71" s="453" t="s">
        <v>251</v>
      </c>
      <c r="GJ71" s="455">
        <f>CS71/C71</f>
        <v>1</v>
      </c>
      <c r="GK71" s="455"/>
      <c r="GL71" s="455">
        <f>CZ71/J71</f>
        <v>1</v>
      </c>
      <c r="GM71" s="455"/>
      <c r="GN71" s="455"/>
    </row>
    <row r="72" spans="1:196" s="456" customFormat="1" ht="15" customHeight="1">
      <c r="A72" s="452">
        <v>20</v>
      </c>
      <c r="B72" s="453" t="s">
        <v>268</v>
      </c>
      <c r="C72" s="457">
        <f aca="true" t="shared" si="116" ref="C72:H72">C73+C74</f>
        <v>2401000000</v>
      </c>
      <c r="D72" s="457">
        <f t="shared" si="116"/>
        <v>0</v>
      </c>
      <c r="E72" s="457">
        <f t="shared" si="116"/>
        <v>0</v>
      </c>
      <c r="F72" s="457">
        <f t="shared" si="116"/>
        <v>0</v>
      </c>
      <c r="G72" s="457">
        <f t="shared" si="116"/>
        <v>0</v>
      </c>
      <c r="H72" s="457">
        <f t="shared" si="116"/>
        <v>0</v>
      </c>
      <c r="I72" s="457">
        <f aca="true" t="shared" si="117" ref="I72:BY72">I73+I74</f>
        <v>0</v>
      </c>
      <c r="J72" s="457">
        <f>J73+J74</f>
        <v>2401000000</v>
      </c>
      <c r="K72" s="457">
        <f t="shared" si="117"/>
        <v>0</v>
      </c>
      <c r="L72" s="457">
        <f>L73+L74</f>
        <v>0</v>
      </c>
      <c r="M72" s="457">
        <f t="shared" si="117"/>
        <v>0</v>
      </c>
      <c r="N72" s="457">
        <f t="shared" si="117"/>
        <v>0</v>
      </c>
      <c r="O72" s="457">
        <f t="shared" si="117"/>
        <v>0</v>
      </c>
      <c r="P72" s="457">
        <f t="shared" si="117"/>
        <v>0</v>
      </c>
      <c r="Q72" s="457">
        <f t="shared" si="117"/>
        <v>0</v>
      </c>
      <c r="R72" s="457">
        <f t="shared" si="117"/>
        <v>0</v>
      </c>
      <c r="S72" s="457">
        <f>S73+S74</f>
        <v>0</v>
      </c>
      <c r="T72" s="457">
        <f t="shared" si="117"/>
        <v>0</v>
      </c>
      <c r="U72" s="457">
        <f t="shared" si="117"/>
        <v>0</v>
      </c>
      <c r="V72" s="457">
        <f>V73+V74</f>
        <v>0</v>
      </c>
      <c r="W72" s="457">
        <f>W73+W74</f>
        <v>0</v>
      </c>
      <c r="X72" s="457">
        <f t="shared" si="117"/>
        <v>0</v>
      </c>
      <c r="Y72" s="457">
        <f t="shared" si="117"/>
        <v>0</v>
      </c>
      <c r="Z72" s="457">
        <f t="shared" si="117"/>
        <v>2401000000</v>
      </c>
      <c r="AA72" s="457">
        <f t="shared" si="117"/>
        <v>0</v>
      </c>
      <c r="AB72" s="457">
        <f t="shared" si="117"/>
        <v>0</v>
      </c>
      <c r="AC72" s="457">
        <f t="shared" si="117"/>
        <v>0</v>
      </c>
      <c r="AD72" s="457">
        <f t="shared" si="117"/>
        <v>0</v>
      </c>
      <c r="AE72" s="457">
        <f t="shared" si="117"/>
        <v>0</v>
      </c>
      <c r="AF72" s="457">
        <f t="shared" si="117"/>
        <v>0</v>
      </c>
      <c r="AG72" s="457">
        <f>AG73+AG74</f>
        <v>0</v>
      </c>
      <c r="AH72" s="457">
        <f t="shared" si="117"/>
        <v>0</v>
      </c>
      <c r="AI72" s="457">
        <f t="shared" si="117"/>
        <v>0</v>
      </c>
      <c r="AJ72" s="457">
        <f t="shared" si="117"/>
        <v>0</v>
      </c>
      <c r="AK72" s="457">
        <f t="shared" si="117"/>
        <v>0</v>
      </c>
      <c r="AL72" s="457">
        <f t="shared" si="117"/>
        <v>0</v>
      </c>
      <c r="AM72" s="457">
        <f t="shared" si="117"/>
        <v>0</v>
      </c>
      <c r="AN72" s="457">
        <f t="shared" si="117"/>
        <v>0</v>
      </c>
      <c r="AO72" s="457">
        <f t="shared" si="117"/>
        <v>0</v>
      </c>
      <c r="AP72" s="457">
        <f t="shared" si="117"/>
        <v>0</v>
      </c>
      <c r="AQ72" s="457">
        <f>AQ73+AQ74</f>
        <v>0</v>
      </c>
      <c r="AR72" s="457">
        <f>AR73+AR74</f>
        <v>0</v>
      </c>
      <c r="AS72" s="457">
        <f t="shared" si="117"/>
        <v>0</v>
      </c>
      <c r="AT72" s="457">
        <f t="shared" si="117"/>
        <v>0</v>
      </c>
      <c r="AU72" s="457">
        <f t="shared" si="117"/>
        <v>0</v>
      </c>
      <c r="AV72" s="457">
        <f>AV73+AV74</f>
        <v>0</v>
      </c>
      <c r="AW72" s="457">
        <f t="shared" si="117"/>
        <v>0</v>
      </c>
      <c r="AX72" s="457">
        <f t="shared" si="117"/>
        <v>0</v>
      </c>
      <c r="AY72" s="457">
        <f>AY73+AY74</f>
        <v>0</v>
      </c>
      <c r="AZ72" s="457">
        <f>AZ73+AZ74</f>
        <v>0</v>
      </c>
      <c r="BA72" s="457">
        <f>BA73+BA74</f>
        <v>0</v>
      </c>
      <c r="BB72" s="457">
        <f t="shared" si="117"/>
        <v>0</v>
      </c>
      <c r="BC72" s="457">
        <f t="shared" si="117"/>
        <v>0</v>
      </c>
      <c r="BD72" s="457">
        <f t="shared" si="117"/>
        <v>0</v>
      </c>
      <c r="BE72" s="457">
        <f t="shared" si="117"/>
        <v>0</v>
      </c>
      <c r="BF72" s="457">
        <f t="shared" si="117"/>
        <v>0</v>
      </c>
      <c r="BG72" s="457">
        <f t="shared" si="117"/>
        <v>0</v>
      </c>
      <c r="BH72" s="457">
        <f t="shared" si="117"/>
        <v>0</v>
      </c>
      <c r="BI72" s="457">
        <f>BI73+BI74</f>
        <v>0</v>
      </c>
      <c r="BJ72" s="457">
        <f t="shared" si="117"/>
        <v>0</v>
      </c>
      <c r="BK72" s="457">
        <f t="shared" si="117"/>
        <v>0</v>
      </c>
      <c r="BL72" s="457">
        <f t="shared" si="117"/>
        <v>0</v>
      </c>
      <c r="BM72" s="457">
        <f t="shared" si="117"/>
        <v>0</v>
      </c>
      <c r="BN72" s="457">
        <f>BN73+BN74</f>
        <v>0</v>
      </c>
      <c r="BO72" s="457">
        <f t="shared" si="117"/>
        <v>0</v>
      </c>
      <c r="BP72" s="457">
        <f t="shared" si="117"/>
        <v>0</v>
      </c>
      <c r="BQ72" s="457">
        <f t="shared" si="117"/>
        <v>0</v>
      </c>
      <c r="BR72" s="457">
        <f t="shared" si="117"/>
        <v>0</v>
      </c>
      <c r="BS72" s="457">
        <f t="shared" si="117"/>
        <v>0</v>
      </c>
      <c r="BT72" s="457">
        <f t="shared" si="117"/>
        <v>0</v>
      </c>
      <c r="BU72" s="457">
        <f t="shared" si="117"/>
        <v>0</v>
      </c>
      <c r="BV72" s="457">
        <f t="shared" si="117"/>
        <v>0</v>
      </c>
      <c r="BW72" s="457">
        <f t="shared" si="117"/>
        <v>0</v>
      </c>
      <c r="BX72" s="457">
        <f t="shared" si="117"/>
        <v>0</v>
      </c>
      <c r="BY72" s="457">
        <f t="shared" si="117"/>
        <v>0</v>
      </c>
      <c r="BZ72" s="457">
        <f aca="true" t="shared" si="118" ref="BZ72:CP72">BZ73+BZ74</f>
        <v>0</v>
      </c>
      <c r="CA72" s="457">
        <f>CA73+CA74</f>
        <v>0</v>
      </c>
      <c r="CB72" s="457">
        <f t="shared" si="118"/>
        <v>0</v>
      </c>
      <c r="CC72" s="457">
        <f t="shared" si="118"/>
        <v>0</v>
      </c>
      <c r="CD72" s="457">
        <f t="shared" si="118"/>
        <v>0</v>
      </c>
      <c r="CE72" s="457">
        <f>CE73+CE74</f>
        <v>0</v>
      </c>
      <c r="CF72" s="457">
        <f>CF73+CF74</f>
        <v>0</v>
      </c>
      <c r="CG72" s="457">
        <f t="shared" si="118"/>
        <v>0</v>
      </c>
      <c r="CH72" s="457">
        <f>CH73+CH74</f>
        <v>0</v>
      </c>
      <c r="CI72" s="457">
        <f>CI73+CI74</f>
        <v>0</v>
      </c>
      <c r="CJ72" s="457">
        <f t="shared" si="118"/>
        <v>0</v>
      </c>
      <c r="CK72" s="457">
        <f t="shared" si="118"/>
        <v>0</v>
      </c>
      <c r="CL72" s="457">
        <f t="shared" si="118"/>
        <v>0</v>
      </c>
      <c r="CM72" s="457">
        <f t="shared" si="118"/>
        <v>0</v>
      </c>
      <c r="CN72" s="457">
        <f t="shared" si="118"/>
        <v>0</v>
      </c>
      <c r="CO72" s="457">
        <f t="shared" si="118"/>
        <v>0</v>
      </c>
      <c r="CP72" s="457">
        <f t="shared" si="118"/>
        <v>0</v>
      </c>
      <c r="CQ72" s="457">
        <f>CQ73+CQ74</f>
        <v>0</v>
      </c>
      <c r="CR72" s="453" t="s">
        <v>268</v>
      </c>
      <c r="CS72" s="457">
        <f aca="true" t="shared" si="119" ref="CS72:FI72">CS73+CS74</f>
        <v>2400975000</v>
      </c>
      <c r="CT72" s="457">
        <f t="shared" si="119"/>
        <v>0</v>
      </c>
      <c r="CU72" s="457">
        <f t="shared" si="119"/>
        <v>0</v>
      </c>
      <c r="CV72" s="457">
        <f>CV73+CV74</f>
        <v>0</v>
      </c>
      <c r="CW72" s="457">
        <f>CW73+CW74</f>
        <v>0</v>
      </c>
      <c r="CX72" s="457">
        <f>CX73+CX74</f>
        <v>0</v>
      </c>
      <c r="CY72" s="457">
        <f t="shared" si="119"/>
        <v>0</v>
      </c>
      <c r="CZ72" s="457">
        <f t="shared" si="119"/>
        <v>2400975000</v>
      </c>
      <c r="DA72" s="457">
        <f t="shared" si="119"/>
        <v>0</v>
      </c>
      <c r="DB72" s="457">
        <f>DB73+DB74</f>
        <v>0</v>
      </c>
      <c r="DC72" s="457">
        <f t="shared" si="119"/>
        <v>0</v>
      </c>
      <c r="DD72" s="457">
        <f t="shared" si="119"/>
        <v>0</v>
      </c>
      <c r="DE72" s="457">
        <f t="shared" si="119"/>
        <v>0</v>
      </c>
      <c r="DF72" s="457">
        <f t="shared" si="119"/>
        <v>0</v>
      </c>
      <c r="DG72" s="457">
        <f t="shared" si="119"/>
        <v>0</v>
      </c>
      <c r="DH72" s="457">
        <f t="shared" si="119"/>
        <v>0</v>
      </c>
      <c r="DI72" s="457">
        <f>DI73+DI74</f>
        <v>0</v>
      </c>
      <c r="DJ72" s="457">
        <f t="shared" si="119"/>
        <v>0</v>
      </c>
      <c r="DK72" s="457">
        <f t="shared" si="119"/>
        <v>0</v>
      </c>
      <c r="DL72" s="457">
        <f>DL73+DL74</f>
        <v>0</v>
      </c>
      <c r="DM72" s="457">
        <f>DM73+DM74</f>
        <v>0</v>
      </c>
      <c r="DN72" s="457">
        <f t="shared" si="119"/>
        <v>0</v>
      </c>
      <c r="DO72" s="457">
        <f t="shared" si="119"/>
        <v>0</v>
      </c>
      <c r="DP72" s="457">
        <f t="shared" si="119"/>
        <v>2400975000</v>
      </c>
      <c r="DQ72" s="457">
        <f t="shared" si="119"/>
        <v>0</v>
      </c>
      <c r="DR72" s="457">
        <f t="shared" si="119"/>
        <v>0</v>
      </c>
      <c r="DS72" s="457">
        <f t="shared" si="119"/>
        <v>0</v>
      </c>
      <c r="DT72" s="457">
        <f t="shared" si="119"/>
        <v>0</v>
      </c>
      <c r="DU72" s="457">
        <f t="shared" si="119"/>
        <v>0</v>
      </c>
      <c r="DV72" s="457">
        <f t="shared" si="119"/>
        <v>0</v>
      </c>
      <c r="DW72" s="457">
        <f>DW73+DW74</f>
        <v>0</v>
      </c>
      <c r="DX72" s="457">
        <f t="shared" si="119"/>
        <v>0</v>
      </c>
      <c r="DY72" s="457">
        <f t="shared" si="119"/>
        <v>0</v>
      </c>
      <c r="DZ72" s="457">
        <f t="shared" si="119"/>
        <v>0</v>
      </c>
      <c r="EA72" s="457">
        <f t="shared" si="119"/>
        <v>0</v>
      </c>
      <c r="EB72" s="457">
        <f t="shared" si="119"/>
        <v>0</v>
      </c>
      <c r="EC72" s="457">
        <f t="shared" si="119"/>
        <v>0</v>
      </c>
      <c r="ED72" s="457">
        <f t="shared" si="119"/>
        <v>0</v>
      </c>
      <c r="EE72" s="457">
        <f t="shared" si="119"/>
        <v>0</v>
      </c>
      <c r="EF72" s="457">
        <f t="shared" si="119"/>
        <v>0</v>
      </c>
      <c r="EG72" s="457">
        <f>EG73+EG74</f>
        <v>0</v>
      </c>
      <c r="EH72" s="457">
        <f>EH73+EH74</f>
        <v>0</v>
      </c>
      <c r="EI72" s="457">
        <f t="shared" si="119"/>
        <v>0</v>
      </c>
      <c r="EJ72" s="457">
        <f t="shared" si="119"/>
        <v>0</v>
      </c>
      <c r="EK72" s="457">
        <f t="shared" si="119"/>
        <v>0</v>
      </c>
      <c r="EL72" s="457">
        <f>EL73+EL74</f>
        <v>0</v>
      </c>
      <c r="EM72" s="457">
        <f t="shared" si="119"/>
        <v>0</v>
      </c>
      <c r="EN72" s="457">
        <f t="shared" si="119"/>
        <v>0</v>
      </c>
      <c r="EO72" s="457">
        <f t="shared" si="119"/>
        <v>0</v>
      </c>
      <c r="EP72" s="457">
        <f t="shared" si="119"/>
        <v>0</v>
      </c>
      <c r="EQ72" s="457">
        <f t="shared" si="119"/>
        <v>0</v>
      </c>
      <c r="ER72" s="457">
        <f t="shared" si="119"/>
        <v>0</v>
      </c>
      <c r="ES72" s="457">
        <f t="shared" si="119"/>
        <v>0</v>
      </c>
      <c r="ET72" s="457">
        <f t="shared" si="119"/>
        <v>0</v>
      </c>
      <c r="EU72" s="457">
        <f t="shared" si="119"/>
        <v>0</v>
      </c>
      <c r="EV72" s="457">
        <f t="shared" si="119"/>
        <v>0</v>
      </c>
      <c r="EW72" s="457">
        <f t="shared" si="119"/>
        <v>0</v>
      </c>
      <c r="EX72" s="457">
        <f t="shared" si="119"/>
        <v>0</v>
      </c>
      <c r="EY72" s="457">
        <f>EY73+EY74</f>
        <v>0</v>
      </c>
      <c r="EZ72" s="457">
        <f t="shared" si="119"/>
        <v>0</v>
      </c>
      <c r="FA72" s="457">
        <f t="shared" si="119"/>
        <v>0</v>
      </c>
      <c r="FB72" s="457">
        <f t="shared" si="119"/>
        <v>0</v>
      </c>
      <c r="FC72" s="457">
        <f t="shared" si="119"/>
        <v>0</v>
      </c>
      <c r="FD72" s="457">
        <f>FD73+FD74</f>
        <v>0</v>
      </c>
      <c r="FE72" s="457">
        <f t="shared" si="119"/>
        <v>0</v>
      </c>
      <c r="FF72" s="457">
        <f t="shared" si="119"/>
        <v>0</v>
      </c>
      <c r="FG72" s="457">
        <f t="shared" si="119"/>
        <v>0</v>
      </c>
      <c r="FH72" s="457">
        <f t="shared" si="119"/>
        <v>0</v>
      </c>
      <c r="FI72" s="457">
        <f t="shared" si="119"/>
        <v>0</v>
      </c>
      <c r="FJ72" s="457">
        <f aca="true" t="shared" si="120" ref="FJ72:GF72">FJ73+FJ74</f>
        <v>0</v>
      </c>
      <c r="FK72" s="457">
        <f t="shared" si="120"/>
        <v>0</v>
      </c>
      <c r="FL72" s="457">
        <f t="shared" si="120"/>
        <v>0</v>
      </c>
      <c r="FM72" s="457">
        <f t="shared" si="120"/>
        <v>0</v>
      </c>
      <c r="FN72" s="457">
        <f t="shared" si="120"/>
        <v>0</v>
      </c>
      <c r="FO72" s="457">
        <f t="shared" si="120"/>
        <v>0</v>
      </c>
      <c r="FP72" s="457">
        <f t="shared" si="120"/>
        <v>0</v>
      </c>
      <c r="FQ72" s="457">
        <f>FQ73+FQ74</f>
        <v>0</v>
      </c>
      <c r="FR72" s="457">
        <f t="shared" si="120"/>
        <v>0</v>
      </c>
      <c r="FS72" s="457">
        <f t="shared" si="120"/>
        <v>0</v>
      </c>
      <c r="FT72" s="457">
        <f t="shared" si="120"/>
        <v>0</v>
      </c>
      <c r="FU72" s="457">
        <f t="shared" si="120"/>
        <v>0</v>
      </c>
      <c r="FV72" s="457">
        <f t="shared" si="120"/>
        <v>0</v>
      </c>
      <c r="FW72" s="457">
        <f t="shared" si="120"/>
        <v>0</v>
      </c>
      <c r="FX72" s="457">
        <f>FX73+FX74</f>
        <v>0</v>
      </c>
      <c r="FY72" s="457"/>
      <c r="FZ72" s="457">
        <f t="shared" si="120"/>
        <v>0</v>
      </c>
      <c r="GA72" s="457">
        <f t="shared" si="120"/>
        <v>0</v>
      </c>
      <c r="GB72" s="457">
        <f t="shared" si="120"/>
        <v>0</v>
      </c>
      <c r="GC72" s="457">
        <f t="shared" si="120"/>
        <v>0</v>
      </c>
      <c r="GD72" s="457">
        <f t="shared" si="120"/>
        <v>0</v>
      </c>
      <c r="GE72" s="457">
        <f t="shared" si="120"/>
        <v>0</v>
      </c>
      <c r="GF72" s="457">
        <f t="shared" si="120"/>
        <v>0</v>
      </c>
      <c r="GG72" s="457">
        <f>GG73+GG74</f>
        <v>0</v>
      </c>
      <c r="GH72" s="457">
        <f>GH73+GH74</f>
        <v>0</v>
      </c>
      <c r="GI72" s="453" t="s">
        <v>268</v>
      </c>
      <c r="GJ72" s="455">
        <f>CS72/C72</f>
        <v>0.9999895876718035</v>
      </c>
      <c r="GK72" s="455"/>
      <c r="GL72" s="455">
        <f>CZ72/J72</f>
        <v>0.9999895876718035</v>
      </c>
      <c r="GM72" s="455"/>
      <c r="GN72" s="455"/>
    </row>
    <row r="73" spans="1:196" s="456" customFormat="1" ht="15" customHeight="1" hidden="1">
      <c r="A73" s="452"/>
      <c r="B73" s="453" t="s">
        <v>250</v>
      </c>
      <c r="C73" s="457">
        <f>D73+J73+AY73+CD73</f>
        <v>0</v>
      </c>
      <c r="D73" s="457">
        <f>SUM(E73:I73)</f>
        <v>0</v>
      </c>
      <c r="E73" s="457"/>
      <c r="F73" s="457"/>
      <c r="G73" s="457"/>
      <c r="H73" s="457"/>
      <c r="I73" s="457"/>
      <c r="J73" s="457">
        <f>SUM(K73:AX73)</f>
        <v>0</v>
      </c>
      <c r="K73" s="457"/>
      <c r="L73" s="457"/>
      <c r="M73" s="457"/>
      <c r="N73" s="457"/>
      <c r="O73" s="457"/>
      <c r="P73" s="457"/>
      <c r="Q73" s="457"/>
      <c r="R73" s="457"/>
      <c r="S73" s="457"/>
      <c r="T73" s="457"/>
      <c r="U73" s="457"/>
      <c r="V73" s="457"/>
      <c r="W73" s="457"/>
      <c r="X73" s="457"/>
      <c r="Y73" s="457"/>
      <c r="Z73" s="457"/>
      <c r="AA73" s="457"/>
      <c r="AB73" s="457"/>
      <c r="AC73" s="457"/>
      <c r="AD73" s="457"/>
      <c r="AE73" s="457"/>
      <c r="AF73" s="457"/>
      <c r="AG73" s="457"/>
      <c r="AH73" s="457"/>
      <c r="AI73" s="457"/>
      <c r="AJ73" s="457"/>
      <c r="AK73" s="457"/>
      <c r="AL73" s="457"/>
      <c r="AM73" s="457"/>
      <c r="AN73" s="457"/>
      <c r="AO73" s="457"/>
      <c r="AP73" s="457"/>
      <c r="AQ73" s="457"/>
      <c r="AR73" s="457"/>
      <c r="AS73" s="457"/>
      <c r="AT73" s="457"/>
      <c r="AU73" s="457"/>
      <c r="AV73" s="457"/>
      <c r="AW73" s="457"/>
      <c r="AX73" s="457"/>
      <c r="AY73" s="457">
        <f>SUM(AZ73:BA73)</f>
        <v>0</v>
      </c>
      <c r="AZ73" s="457">
        <f>SUM(BB73:BI73)+SUM(BQ73:BX73)</f>
        <v>0</v>
      </c>
      <c r="BA73" s="457">
        <f>SUM(BJ73:BP73)+SUM(BY73:CC73)</f>
        <v>0</v>
      </c>
      <c r="BB73" s="457"/>
      <c r="BC73" s="457"/>
      <c r="BD73" s="457"/>
      <c r="BE73" s="457"/>
      <c r="BF73" s="457"/>
      <c r="BG73" s="457"/>
      <c r="BH73" s="457"/>
      <c r="BI73" s="457"/>
      <c r="BJ73" s="457"/>
      <c r="BK73" s="457"/>
      <c r="BL73" s="457"/>
      <c r="BM73" s="457"/>
      <c r="BN73" s="457"/>
      <c r="BO73" s="457"/>
      <c r="BP73" s="457"/>
      <c r="BQ73" s="457"/>
      <c r="BR73" s="457"/>
      <c r="BS73" s="457"/>
      <c r="BT73" s="457"/>
      <c r="BU73" s="457"/>
      <c r="BV73" s="457"/>
      <c r="BW73" s="457"/>
      <c r="BX73" s="457"/>
      <c r="BY73" s="457"/>
      <c r="BZ73" s="457"/>
      <c r="CA73" s="457"/>
      <c r="CB73" s="457"/>
      <c r="CC73" s="457"/>
      <c r="CD73" s="457">
        <f>SUM(CE73:CF73)</f>
        <v>0</v>
      </c>
      <c r="CE73" s="457">
        <f>SUM(CG73:CI73)</f>
        <v>0</v>
      </c>
      <c r="CF73" s="457">
        <f>SUM(CJ73:CQ73)</f>
        <v>0</v>
      </c>
      <c r="CG73" s="457"/>
      <c r="CH73" s="457"/>
      <c r="CI73" s="457"/>
      <c r="CJ73" s="457"/>
      <c r="CK73" s="457"/>
      <c r="CL73" s="457"/>
      <c r="CM73" s="457"/>
      <c r="CN73" s="457"/>
      <c r="CO73" s="457"/>
      <c r="CP73" s="457"/>
      <c r="CQ73" s="457"/>
      <c r="CR73" s="453" t="s">
        <v>250</v>
      </c>
      <c r="CS73" s="457">
        <f>CT73+CZ73+EO73+FT73+GH73</f>
        <v>0</v>
      </c>
      <c r="CT73" s="457">
        <f>SUM(CU73:CY73)</f>
        <v>0</v>
      </c>
      <c r="CU73" s="457"/>
      <c r="CV73" s="457"/>
      <c r="CW73" s="457"/>
      <c r="CX73" s="457"/>
      <c r="CY73" s="457"/>
      <c r="CZ73" s="457">
        <f>SUM(DA73:EN73)</f>
        <v>0</v>
      </c>
      <c r="DA73" s="457"/>
      <c r="DB73" s="457"/>
      <c r="DC73" s="457"/>
      <c r="DD73" s="457"/>
      <c r="DE73" s="457"/>
      <c r="DF73" s="457"/>
      <c r="DG73" s="457"/>
      <c r="DH73" s="457"/>
      <c r="DI73" s="457"/>
      <c r="DJ73" s="457"/>
      <c r="DK73" s="457"/>
      <c r="DL73" s="457"/>
      <c r="DM73" s="457"/>
      <c r="DN73" s="457"/>
      <c r="DO73" s="457"/>
      <c r="DP73" s="457"/>
      <c r="DQ73" s="457"/>
      <c r="DR73" s="457"/>
      <c r="DS73" s="457"/>
      <c r="DT73" s="457"/>
      <c r="DU73" s="457"/>
      <c r="DV73" s="457"/>
      <c r="DW73" s="457"/>
      <c r="DX73" s="457"/>
      <c r="DY73" s="457"/>
      <c r="DZ73" s="457"/>
      <c r="EA73" s="457"/>
      <c r="EB73" s="457"/>
      <c r="EC73" s="457"/>
      <c r="ED73" s="457"/>
      <c r="EE73" s="457"/>
      <c r="EF73" s="457"/>
      <c r="EG73" s="457"/>
      <c r="EH73" s="457"/>
      <c r="EI73" s="457"/>
      <c r="EJ73" s="457"/>
      <c r="EK73" s="457"/>
      <c r="EL73" s="457"/>
      <c r="EM73" s="457"/>
      <c r="EN73" s="457"/>
      <c r="EO73" s="457">
        <f>SUM(EP73:EQ73)</f>
        <v>0</v>
      </c>
      <c r="EP73" s="457">
        <f>SUM(ER73:EY73)+SUM(FG73:FN73)</f>
        <v>0</v>
      </c>
      <c r="EQ73" s="457">
        <f>SUM(EZ73:FF73)+SUM(FO73:FS73)</f>
        <v>0</v>
      </c>
      <c r="ER73" s="457"/>
      <c r="ES73" s="457"/>
      <c r="ET73" s="457"/>
      <c r="EU73" s="457"/>
      <c r="EV73" s="457"/>
      <c r="EW73" s="457"/>
      <c r="EX73" s="457"/>
      <c r="EY73" s="457"/>
      <c r="EZ73" s="457"/>
      <c r="FA73" s="457"/>
      <c r="FB73" s="457"/>
      <c r="FC73" s="457"/>
      <c r="FD73" s="457"/>
      <c r="FE73" s="457"/>
      <c r="FF73" s="457"/>
      <c r="FG73" s="457"/>
      <c r="FH73" s="457"/>
      <c r="FI73" s="457"/>
      <c r="FJ73" s="457"/>
      <c r="FK73" s="457"/>
      <c r="FL73" s="457"/>
      <c r="FM73" s="457"/>
      <c r="FN73" s="457"/>
      <c r="FO73" s="457"/>
      <c r="FP73" s="457"/>
      <c r="FQ73" s="457"/>
      <c r="FR73" s="457"/>
      <c r="FS73" s="457"/>
      <c r="FT73" s="457">
        <f>SUM(FU73:FV73)</f>
        <v>0</v>
      </c>
      <c r="FU73" s="457">
        <f>SUM(FW73:FY73)</f>
        <v>0</v>
      </c>
      <c r="FV73" s="457">
        <f>SUM(FZ73:GG73)</f>
        <v>0</v>
      </c>
      <c r="FW73" s="457"/>
      <c r="FX73" s="457"/>
      <c r="FY73" s="457"/>
      <c r="FZ73" s="457"/>
      <c r="GA73" s="457"/>
      <c r="GB73" s="457"/>
      <c r="GC73" s="457"/>
      <c r="GD73" s="457"/>
      <c r="GE73" s="457"/>
      <c r="GF73" s="457"/>
      <c r="GG73" s="457"/>
      <c r="GH73" s="457"/>
      <c r="GI73" s="453" t="s">
        <v>250</v>
      </c>
      <c r="GJ73" s="455"/>
      <c r="GK73" s="455"/>
      <c r="GL73" s="455"/>
      <c r="GM73" s="455"/>
      <c r="GN73" s="455"/>
    </row>
    <row r="74" spans="1:196" s="456" customFormat="1" ht="15" customHeight="1" hidden="1">
      <c r="A74" s="452"/>
      <c r="B74" s="453" t="s">
        <v>251</v>
      </c>
      <c r="C74" s="457">
        <f>D74+J74+AY74+CD74</f>
        <v>2401000000</v>
      </c>
      <c r="D74" s="457">
        <f>SUM(E74:I74)</f>
        <v>0</v>
      </c>
      <c r="E74" s="457"/>
      <c r="F74" s="457"/>
      <c r="G74" s="457"/>
      <c r="H74" s="457"/>
      <c r="I74" s="457"/>
      <c r="J74" s="457">
        <f>SUM(K74:AX74)</f>
        <v>2401000000</v>
      </c>
      <c r="K74" s="457"/>
      <c r="L74" s="457"/>
      <c r="M74" s="457"/>
      <c r="N74" s="457"/>
      <c r="O74" s="457"/>
      <c r="P74" s="457"/>
      <c r="Q74" s="457"/>
      <c r="R74" s="457"/>
      <c r="S74" s="457"/>
      <c r="T74" s="457"/>
      <c r="U74" s="457"/>
      <c r="V74" s="457"/>
      <c r="W74" s="457"/>
      <c r="X74" s="457"/>
      <c r="Y74" s="457"/>
      <c r="Z74" s="457">
        <v>2401000000</v>
      </c>
      <c r="AA74" s="457"/>
      <c r="AB74" s="457"/>
      <c r="AC74" s="457"/>
      <c r="AD74" s="457"/>
      <c r="AE74" s="457"/>
      <c r="AF74" s="457"/>
      <c r="AG74" s="457"/>
      <c r="AH74" s="457"/>
      <c r="AI74" s="457"/>
      <c r="AJ74" s="457"/>
      <c r="AK74" s="457"/>
      <c r="AL74" s="457"/>
      <c r="AM74" s="457"/>
      <c r="AN74" s="457"/>
      <c r="AO74" s="457"/>
      <c r="AP74" s="457"/>
      <c r="AQ74" s="457"/>
      <c r="AR74" s="457"/>
      <c r="AS74" s="457"/>
      <c r="AT74" s="457"/>
      <c r="AU74" s="457"/>
      <c r="AV74" s="457"/>
      <c r="AW74" s="457"/>
      <c r="AX74" s="457"/>
      <c r="AY74" s="457">
        <f>SUM(AZ74:BA74)</f>
        <v>0</v>
      </c>
      <c r="AZ74" s="457">
        <f>SUM(BB74:BI74)+SUM(BQ74:BX74)</f>
        <v>0</v>
      </c>
      <c r="BA74" s="457">
        <f>SUM(BJ74:BP74)+SUM(BY74:CC74)</f>
        <v>0</v>
      </c>
      <c r="BB74" s="457"/>
      <c r="BC74" s="457"/>
      <c r="BD74" s="457"/>
      <c r="BE74" s="457"/>
      <c r="BF74" s="457"/>
      <c r="BG74" s="457"/>
      <c r="BH74" s="457"/>
      <c r="BI74" s="457"/>
      <c r="BJ74" s="457"/>
      <c r="BK74" s="457"/>
      <c r="BL74" s="457"/>
      <c r="BM74" s="457"/>
      <c r="BN74" s="457"/>
      <c r="BO74" s="457"/>
      <c r="BP74" s="457"/>
      <c r="BQ74" s="457"/>
      <c r="BR74" s="457"/>
      <c r="BS74" s="457"/>
      <c r="BT74" s="457"/>
      <c r="BU74" s="457"/>
      <c r="BV74" s="457"/>
      <c r="BW74" s="457"/>
      <c r="BX74" s="457"/>
      <c r="BY74" s="457"/>
      <c r="BZ74" s="457"/>
      <c r="CA74" s="457"/>
      <c r="CB74" s="457"/>
      <c r="CC74" s="457"/>
      <c r="CD74" s="457">
        <f>SUM(CE74:CF74)</f>
        <v>0</v>
      </c>
      <c r="CE74" s="457">
        <f>SUM(CG74:CI74)</f>
        <v>0</v>
      </c>
      <c r="CF74" s="457">
        <f>SUM(CJ74:CQ74)</f>
        <v>0</v>
      </c>
      <c r="CG74" s="457"/>
      <c r="CH74" s="457"/>
      <c r="CI74" s="457"/>
      <c r="CJ74" s="457"/>
      <c r="CK74" s="457"/>
      <c r="CL74" s="457"/>
      <c r="CM74" s="457"/>
      <c r="CN74" s="457"/>
      <c r="CO74" s="457"/>
      <c r="CP74" s="457"/>
      <c r="CQ74" s="457"/>
      <c r="CR74" s="453" t="s">
        <v>251</v>
      </c>
      <c r="CS74" s="457">
        <f>CT74+CZ74+EO74+FT74+GH74</f>
        <v>2400975000</v>
      </c>
      <c r="CT74" s="457">
        <f>SUM(CU74:CY74)</f>
        <v>0</v>
      </c>
      <c r="CU74" s="457"/>
      <c r="CV74" s="457"/>
      <c r="CW74" s="457"/>
      <c r="CX74" s="457"/>
      <c r="CY74" s="457"/>
      <c r="CZ74" s="457">
        <f>SUM(DA74:EN74)</f>
        <v>2400975000</v>
      </c>
      <c r="DA74" s="457"/>
      <c r="DB74" s="457"/>
      <c r="DC74" s="457"/>
      <c r="DD74" s="457"/>
      <c r="DE74" s="457"/>
      <c r="DF74" s="457"/>
      <c r="DG74" s="457"/>
      <c r="DH74" s="457"/>
      <c r="DI74" s="457"/>
      <c r="DJ74" s="457"/>
      <c r="DK74" s="457"/>
      <c r="DL74" s="457"/>
      <c r="DM74" s="457"/>
      <c r="DN74" s="457"/>
      <c r="DO74" s="457"/>
      <c r="DP74" s="457">
        <v>2400975000</v>
      </c>
      <c r="DQ74" s="457"/>
      <c r="DR74" s="457"/>
      <c r="DS74" s="457"/>
      <c r="DT74" s="457"/>
      <c r="DU74" s="457"/>
      <c r="DV74" s="457"/>
      <c r="DW74" s="457"/>
      <c r="DX74" s="457"/>
      <c r="DY74" s="457"/>
      <c r="DZ74" s="457"/>
      <c r="EA74" s="457"/>
      <c r="EB74" s="457"/>
      <c r="EC74" s="457"/>
      <c r="ED74" s="457"/>
      <c r="EE74" s="457"/>
      <c r="EF74" s="457"/>
      <c r="EG74" s="457"/>
      <c r="EH74" s="457"/>
      <c r="EI74" s="457"/>
      <c r="EJ74" s="457"/>
      <c r="EK74" s="457"/>
      <c r="EL74" s="457"/>
      <c r="EM74" s="457"/>
      <c r="EN74" s="457"/>
      <c r="EO74" s="457">
        <f>SUM(EP74:EQ74)</f>
        <v>0</v>
      </c>
      <c r="EP74" s="457">
        <f>SUM(ER74:EY74)+SUM(FG74:FN74)</f>
        <v>0</v>
      </c>
      <c r="EQ74" s="457">
        <f>SUM(EZ74:FF74)+SUM(FO74:FS74)</f>
        <v>0</v>
      </c>
      <c r="ER74" s="457"/>
      <c r="ES74" s="457"/>
      <c r="ET74" s="457"/>
      <c r="EU74" s="457"/>
      <c r="EV74" s="457"/>
      <c r="EW74" s="457"/>
      <c r="EX74" s="457"/>
      <c r="EY74" s="457"/>
      <c r="EZ74" s="457"/>
      <c r="FA74" s="457"/>
      <c r="FB74" s="457"/>
      <c r="FC74" s="457"/>
      <c r="FD74" s="457"/>
      <c r="FE74" s="457"/>
      <c r="FF74" s="457"/>
      <c r="FG74" s="457"/>
      <c r="FH74" s="457"/>
      <c r="FI74" s="457"/>
      <c r="FJ74" s="457"/>
      <c r="FK74" s="457"/>
      <c r="FL74" s="457"/>
      <c r="FM74" s="457"/>
      <c r="FN74" s="457"/>
      <c r="FO74" s="457"/>
      <c r="FP74" s="457"/>
      <c r="FQ74" s="457"/>
      <c r="FR74" s="457"/>
      <c r="FS74" s="457"/>
      <c r="FT74" s="457">
        <f>SUM(FU74:FV74)</f>
        <v>0</v>
      </c>
      <c r="FU74" s="457">
        <f>SUM(FW74:FY74)</f>
        <v>0</v>
      </c>
      <c r="FV74" s="457">
        <f>SUM(FZ74:GG74)</f>
        <v>0</v>
      </c>
      <c r="FW74" s="457"/>
      <c r="FX74" s="457"/>
      <c r="FY74" s="457"/>
      <c r="FZ74" s="457"/>
      <c r="GA74" s="457"/>
      <c r="GB74" s="457"/>
      <c r="GC74" s="457"/>
      <c r="GD74" s="457"/>
      <c r="GE74" s="457"/>
      <c r="GF74" s="457"/>
      <c r="GG74" s="457"/>
      <c r="GH74" s="457"/>
      <c r="GI74" s="453" t="s">
        <v>251</v>
      </c>
      <c r="GJ74" s="455">
        <f>CS74/C74</f>
        <v>0.9999895876718035</v>
      </c>
      <c r="GK74" s="455"/>
      <c r="GL74" s="455">
        <f>CZ74/J74</f>
        <v>0.9999895876718035</v>
      </c>
      <c r="GM74" s="455"/>
      <c r="GN74" s="455"/>
    </row>
    <row r="75" spans="1:196" s="456" customFormat="1" ht="15" customHeight="1">
      <c r="A75" s="452">
        <v>21</v>
      </c>
      <c r="B75" s="453" t="s">
        <v>269</v>
      </c>
      <c r="C75" s="457">
        <f aca="true" t="shared" si="121" ref="C75:H75">C76+C77</f>
        <v>4190874000</v>
      </c>
      <c r="D75" s="457">
        <f t="shared" si="121"/>
        <v>468000000</v>
      </c>
      <c r="E75" s="457">
        <f t="shared" si="121"/>
        <v>0</v>
      </c>
      <c r="F75" s="457">
        <f t="shared" si="121"/>
        <v>0</v>
      </c>
      <c r="G75" s="457">
        <f t="shared" si="121"/>
        <v>468000000</v>
      </c>
      <c r="H75" s="457">
        <f t="shared" si="121"/>
        <v>0</v>
      </c>
      <c r="I75" s="457">
        <f aca="true" t="shared" si="122" ref="I75:BY75">I76+I77</f>
        <v>0</v>
      </c>
      <c r="J75" s="457">
        <f>J76+J77</f>
        <v>3646874000</v>
      </c>
      <c r="K75" s="457">
        <f t="shared" si="122"/>
        <v>0</v>
      </c>
      <c r="L75" s="457">
        <f>L76+L77</f>
        <v>0</v>
      </c>
      <c r="M75" s="457">
        <f t="shared" si="122"/>
        <v>0</v>
      </c>
      <c r="N75" s="457">
        <f t="shared" si="122"/>
        <v>0</v>
      </c>
      <c r="O75" s="457">
        <f t="shared" si="122"/>
        <v>0</v>
      </c>
      <c r="P75" s="457">
        <f t="shared" si="122"/>
        <v>0</v>
      </c>
      <c r="Q75" s="457">
        <f t="shared" si="122"/>
        <v>0</v>
      </c>
      <c r="R75" s="457">
        <f t="shared" si="122"/>
        <v>0</v>
      </c>
      <c r="S75" s="457">
        <f>S76+S77</f>
        <v>0</v>
      </c>
      <c r="T75" s="457">
        <f t="shared" si="122"/>
        <v>14598000</v>
      </c>
      <c r="U75" s="457">
        <f t="shared" si="122"/>
        <v>0</v>
      </c>
      <c r="V75" s="457">
        <f>V76+V77</f>
        <v>0</v>
      </c>
      <c r="W75" s="457">
        <f>W76+W77</f>
        <v>0</v>
      </c>
      <c r="X75" s="457">
        <f t="shared" si="122"/>
        <v>0</v>
      </c>
      <c r="Y75" s="457">
        <f t="shared" si="122"/>
        <v>1633000000</v>
      </c>
      <c r="Z75" s="457">
        <f t="shared" si="122"/>
        <v>0</v>
      </c>
      <c r="AA75" s="457">
        <f t="shared" si="122"/>
        <v>912646000</v>
      </c>
      <c r="AB75" s="457">
        <f t="shared" si="122"/>
        <v>0</v>
      </c>
      <c r="AC75" s="457">
        <f t="shared" si="122"/>
        <v>0</v>
      </c>
      <c r="AD75" s="457">
        <f t="shared" si="122"/>
        <v>0</v>
      </c>
      <c r="AE75" s="457">
        <f t="shared" si="122"/>
        <v>0</v>
      </c>
      <c r="AF75" s="457">
        <f t="shared" si="122"/>
        <v>0</v>
      </c>
      <c r="AG75" s="457">
        <f>AG76+AG77</f>
        <v>0</v>
      </c>
      <c r="AH75" s="457">
        <f t="shared" si="122"/>
        <v>0</v>
      </c>
      <c r="AI75" s="457">
        <f t="shared" si="122"/>
        <v>0</v>
      </c>
      <c r="AJ75" s="457">
        <f t="shared" si="122"/>
        <v>0</v>
      </c>
      <c r="AK75" s="457">
        <f t="shared" si="122"/>
        <v>0</v>
      </c>
      <c r="AL75" s="457">
        <f t="shared" si="122"/>
        <v>0</v>
      </c>
      <c r="AM75" s="457">
        <f t="shared" si="122"/>
        <v>0</v>
      </c>
      <c r="AN75" s="457">
        <f t="shared" si="122"/>
        <v>0</v>
      </c>
      <c r="AO75" s="457">
        <f t="shared" si="122"/>
        <v>0</v>
      </c>
      <c r="AP75" s="457">
        <f t="shared" si="122"/>
        <v>0</v>
      </c>
      <c r="AQ75" s="457">
        <f>AQ76+AQ77</f>
        <v>0</v>
      </c>
      <c r="AR75" s="457">
        <f>AR76+AR77</f>
        <v>0</v>
      </c>
      <c r="AS75" s="457">
        <f t="shared" si="122"/>
        <v>0</v>
      </c>
      <c r="AT75" s="457">
        <f t="shared" si="122"/>
        <v>0</v>
      </c>
      <c r="AU75" s="457">
        <f t="shared" si="122"/>
        <v>1066630000</v>
      </c>
      <c r="AV75" s="457">
        <f>AV76+AV77</f>
        <v>20000000</v>
      </c>
      <c r="AW75" s="457">
        <f t="shared" si="122"/>
        <v>0</v>
      </c>
      <c r="AX75" s="457">
        <f t="shared" si="122"/>
        <v>0</v>
      </c>
      <c r="AY75" s="457">
        <f>AY76+AY77</f>
        <v>76000000</v>
      </c>
      <c r="AZ75" s="457">
        <f>AZ76+AZ77</f>
        <v>0</v>
      </c>
      <c r="BA75" s="457">
        <f>BA76+BA77</f>
        <v>76000000</v>
      </c>
      <c r="BB75" s="457">
        <f t="shared" si="122"/>
        <v>0</v>
      </c>
      <c r="BC75" s="457">
        <f t="shared" si="122"/>
        <v>0</v>
      </c>
      <c r="BD75" s="457">
        <f t="shared" si="122"/>
        <v>0</v>
      </c>
      <c r="BE75" s="457">
        <f t="shared" si="122"/>
        <v>0</v>
      </c>
      <c r="BF75" s="457">
        <f t="shared" si="122"/>
        <v>0</v>
      </c>
      <c r="BG75" s="457">
        <f t="shared" si="122"/>
        <v>0</v>
      </c>
      <c r="BH75" s="457">
        <f t="shared" si="122"/>
        <v>0</v>
      </c>
      <c r="BI75" s="457">
        <f>BI76+BI77</f>
        <v>0</v>
      </c>
      <c r="BJ75" s="457">
        <f t="shared" si="122"/>
        <v>0</v>
      </c>
      <c r="BK75" s="457">
        <f t="shared" si="122"/>
        <v>0</v>
      </c>
      <c r="BL75" s="457">
        <f t="shared" si="122"/>
        <v>0</v>
      </c>
      <c r="BM75" s="457">
        <f t="shared" si="122"/>
        <v>0</v>
      </c>
      <c r="BN75" s="457">
        <f>BN76+BN77</f>
        <v>0</v>
      </c>
      <c r="BO75" s="457">
        <f t="shared" si="122"/>
        <v>76000000</v>
      </c>
      <c r="BP75" s="457">
        <f t="shared" si="122"/>
        <v>0</v>
      </c>
      <c r="BQ75" s="457">
        <f t="shared" si="122"/>
        <v>0</v>
      </c>
      <c r="BR75" s="457">
        <f t="shared" si="122"/>
        <v>0</v>
      </c>
      <c r="BS75" s="457">
        <f t="shared" si="122"/>
        <v>0</v>
      </c>
      <c r="BT75" s="457">
        <f t="shared" si="122"/>
        <v>0</v>
      </c>
      <c r="BU75" s="457">
        <f t="shared" si="122"/>
        <v>0</v>
      </c>
      <c r="BV75" s="457">
        <f t="shared" si="122"/>
        <v>0</v>
      </c>
      <c r="BW75" s="457">
        <f t="shared" si="122"/>
        <v>0</v>
      </c>
      <c r="BX75" s="457">
        <f t="shared" si="122"/>
        <v>0</v>
      </c>
      <c r="BY75" s="457">
        <f t="shared" si="122"/>
        <v>0</v>
      </c>
      <c r="BZ75" s="457">
        <f aca="true" t="shared" si="123" ref="BZ75:CP75">BZ76+BZ77</f>
        <v>0</v>
      </c>
      <c r="CA75" s="457">
        <f>CA76+CA77</f>
        <v>0</v>
      </c>
      <c r="CB75" s="457">
        <f t="shared" si="123"/>
        <v>0</v>
      </c>
      <c r="CC75" s="457">
        <f t="shared" si="123"/>
        <v>0</v>
      </c>
      <c r="CD75" s="457">
        <f t="shared" si="123"/>
        <v>0</v>
      </c>
      <c r="CE75" s="457">
        <f>CE76+CE77</f>
        <v>0</v>
      </c>
      <c r="CF75" s="457">
        <f>CF76+CF77</f>
        <v>0</v>
      </c>
      <c r="CG75" s="457">
        <f t="shared" si="123"/>
        <v>0</v>
      </c>
      <c r="CH75" s="457">
        <f>CH76+CH77</f>
        <v>0</v>
      </c>
      <c r="CI75" s="457">
        <f>CI76+CI77</f>
        <v>0</v>
      </c>
      <c r="CJ75" s="457">
        <f t="shared" si="123"/>
        <v>0</v>
      </c>
      <c r="CK75" s="457">
        <f t="shared" si="123"/>
        <v>0</v>
      </c>
      <c r="CL75" s="457">
        <f t="shared" si="123"/>
        <v>0</v>
      </c>
      <c r="CM75" s="457">
        <f t="shared" si="123"/>
        <v>0</v>
      </c>
      <c r="CN75" s="457">
        <f t="shared" si="123"/>
        <v>0</v>
      </c>
      <c r="CO75" s="457">
        <f t="shared" si="123"/>
        <v>0</v>
      </c>
      <c r="CP75" s="457">
        <f t="shared" si="123"/>
        <v>0</v>
      </c>
      <c r="CQ75" s="457">
        <f>CQ76+CQ77</f>
        <v>0</v>
      </c>
      <c r="CR75" s="453" t="s">
        <v>269</v>
      </c>
      <c r="CS75" s="457">
        <f aca="true" t="shared" si="124" ref="CS75:FI75">CS76+CS77</f>
        <v>4183187000</v>
      </c>
      <c r="CT75" s="457">
        <f t="shared" si="124"/>
        <v>467057000</v>
      </c>
      <c r="CU75" s="457">
        <f t="shared" si="124"/>
        <v>0</v>
      </c>
      <c r="CV75" s="457">
        <f>CV76+CV77</f>
        <v>0</v>
      </c>
      <c r="CW75" s="457">
        <f>CW76+CW77</f>
        <v>467057000</v>
      </c>
      <c r="CX75" s="457">
        <f>CX76+CX77</f>
        <v>0</v>
      </c>
      <c r="CY75" s="457">
        <f t="shared" si="124"/>
        <v>0</v>
      </c>
      <c r="CZ75" s="457">
        <f t="shared" si="124"/>
        <v>3640130000</v>
      </c>
      <c r="DA75" s="457">
        <f t="shared" si="124"/>
        <v>0</v>
      </c>
      <c r="DB75" s="457">
        <f>DB76+DB77</f>
        <v>0</v>
      </c>
      <c r="DC75" s="457">
        <f t="shared" si="124"/>
        <v>0</v>
      </c>
      <c r="DD75" s="457">
        <f t="shared" si="124"/>
        <v>0</v>
      </c>
      <c r="DE75" s="457">
        <f t="shared" si="124"/>
        <v>0</v>
      </c>
      <c r="DF75" s="457">
        <f t="shared" si="124"/>
        <v>0</v>
      </c>
      <c r="DG75" s="457">
        <f t="shared" si="124"/>
        <v>0</v>
      </c>
      <c r="DH75" s="457">
        <f t="shared" si="124"/>
        <v>0</v>
      </c>
      <c r="DI75" s="457">
        <f>DI76+DI77</f>
        <v>0</v>
      </c>
      <c r="DJ75" s="457">
        <f t="shared" si="124"/>
        <v>14598000</v>
      </c>
      <c r="DK75" s="457">
        <f t="shared" si="124"/>
        <v>0</v>
      </c>
      <c r="DL75" s="457">
        <f>DL76+DL77</f>
        <v>0</v>
      </c>
      <c r="DM75" s="457">
        <f>DM76+DM77</f>
        <v>0</v>
      </c>
      <c r="DN75" s="457">
        <f t="shared" si="124"/>
        <v>0</v>
      </c>
      <c r="DO75" s="457">
        <f t="shared" si="124"/>
        <v>1633000000</v>
      </c>
      <c r="DP75" s="457">
        <f t="shared" si="124"/>
        <v>0</v>
      </c>
      <c r="DQ75" s="457">
        <f t="shared" si="124"/>
        <v>912646000</v>
      </c>
      <c r="DR75" s="457">
        <f t="shared" si="124"/>
        <v>0</v>
      </c>
      <c r="DS75" s="457">
        <f t="shared" si="124"/>
        <v>0</v>
      </c>
      <c r="DT75" s="457">
        <f t="shared" si="124"/>
        <v>0</v>
      </c>
      <c r="DU75" s="457">
        <f t="shared" si="124"/>
        <v>0</v>
      </c>
      <c r="DV75" s="457">
        <f t="shared" si="124"/>
        <v>0</v>
      </c>
      <c r="DW75" s="457">
        <f>DW76+DW77</f>
        <v>0</v>
      </c>
      <c r="DX75" s="457">
        <f t="shared" si="124"/>
        <v>0</v>
      </c>
      <c r="DY75" s="457">
        <f t="shared" si="124"/>
        <v>0</v>
      </c>
      <c r="DZ75" s="457">
        <f t="shared" si="124"/>
        <v>0</v>
      </c>
      <c r="EA75" s="457">
        <f t="shared" si="124"/>
        <v>0</v>
      </c>
      <c r="EB75" s="457">
        <f t="shared" si="124"/>
        <v>0</v>
      </c>
      <c r="EC75" s="457">
        <f t="shared" si="124"/>
        <v>0</v>
      </c>
      <c r="ED75" s="457">
        <f t="shared" si="124"/>
        <v>0</v>
      </c>
      <c r="EE75" s="457">
        <f t="shared" si="124"/>
        <v>0</v>
      </c>
      <c r="EF75" s="457">
        <f t="shared" si="124"/>
        <v>0</v>
      </c>
      <c r="EG75" s="457">
        <f>EG76+EG77</f>
        <v>0</v>
      </c>
      <c r="EH75" s="457">
        <f>EH76+EH77</f>
        <v>0</v>
      </c>
      <c r="EI75" s="457">
        <f t="shared" si="124"/>
        <v>0</v>
      </c>
      <c r="EJ75" s="457">
        <f t="shared" si="124"/>
        <v>0</v>
      </c>
      <c r="EK75" s="457">
        <f t="shared" si="124"/>
        <v>1059886000</v>
      </c>
      <c r="EL75" s="457">
        <f>EL76+EL77</f>
        <v>20000000</v>
      </c>
      <c r="EM75" s="457">
        <f t="shared" si="124"/>
        <v>0</v>
      </c>
      <c r="EN75" s="457">
        <f t="shared" si="124"/>
        <v>0</v>
      </c>
      <c r="EO75" s="457">
        <f t="shared" si="124"/>
        <v>76000000</v>
      </c>
      <c r="EP75" s="457">
        <f t="shared" si="124"/>
        <v>0</v>
      </c>
      <c r="EQ75" s="457">
        <f t="shared" si="124"/>
        <v>76000000</v>
      </c>
      <c r="ER75" s="457">
        <f t="shared" si="124"/>
        <v>0</v>
      </c>
      <c r="ES75" s="457">
        <f t="shared" si="124"/>
        <v>0</v>
      </c>
      <c r="ET75" s="457">
        <f t="shared" si="124"/>
        <v>0</v>
      </c>
      <c r="EU75" s="457">
        <f t="shared" si="124"/>
        <v>0</v>
      </c>
      <c r="EV75" s="457">
        <f t="shared" si="124"/>
        <v>0</v>
      </c>
      <c r="EW75" s="457">
        <f t="shared" si="124"/>
        <v>0</v>
      </c>
      <c r="EX75" s="457">
        <f t="shared" si="124"/>
        <v>0</v>
      </c>
      <c r="EY75" s="457">
        <f>EY76+EY77</f>
        <v>0</v>
      </c>
      <c r="EZ75" s="457">
        <f t="shared" si="124"/>
        <v>0</v>
      </c>
      <c r="FA75" s="457">
        <f t="shared" si="124"/>
        <v>0</v>
      </c>
      <c r="FB75" s="457">
        <f t="shared" si="124"/>
        <v>0</v>
      </c>
      <c r="FC75" s="457">
        <f t="shared" si="124"/>
        <v>0</v>
      </c>
      <c r="FD75" s="457">
        <f>FD76+FD77</f>
        <v>0</v>
      </c>
      <c r="FE75" s="457">
        <f t="shared" si="124"/>
        <v>76000000</v>
      </c>
      <c r="FF75" s="457">
        <f t="shared" si="124"/>
        <v>0</v>
      </c>
      <c r="FG75" s="457">
        <f t="shared" si="124"/>
        <v>0</v>
      </c>
      <c r="FH75" s="457">
        <f t="shared" si="124"/>
        <v>0</v>
      </c>
      <c r="FI75" s="457">
        <f t="shared" si="124"/>
        <v>0</v>
      </c>
      <c r="FJ75" s="457">
        <f aca="true" t="shared" si="125" ref="FJ75:GF75">FJ76+FJ77</f>
        <v>0</v>
      </c>
      <c r="FK75" s="457">
        <f t="shared" si="125"/>
        <v>0</v>
      </c>
      <c r="FL75" s="457">
        <f t="shared" si="125"/>
        <v>0</v>
      </c>
      <c r="FM75" s="457">
        <f t="shared" si="125"/>
        <v>0</v>
      </c>
      <c r="FN75" s="457">
        <f t="shared" si="125"/>
        <v>0</v>
      </c>
      <c r="FO75" s="457">
        <f t="shared" si="125"/>
        <v>0</v>
      </c>
      <c r="FP75" s="457">
        <f t="shared" si="125"/>
        <v>0</v>
      </c>
      <c r="FQ75" s="457">
        <f>FQ76+FQ77</f>
        <v>0</v>
      </c>
      <c r="FR75" s="457">
        <f t="shared" si="125"/>
        <v>0</v>
      </c>
      <c r="FS75" s="457">
        <f t="shared" si="125"/>
        <v>0</v>
      </c>
      <c r="FT75" s="457">
        <f t="shared" si="125"/>
        <v>0</v>
      </c>
      <c r="FU75" s="457">
        <f t="shared" si="125"/>
        <v>0</v>
      </c>
      <c r="FV75" s="457">
        <f t="shared" si="125"/>
        <v>0</v>
      </c>
      <c r="FW75" s="457">
        <f t="shared" si="125"/>
        <v>0</v>
      </c>
      <c r="FX75" s="457">
        <f>FX76+FX77</f>
        <v>0</v>
      </c>
      <c r="FY75" s="457"/>
      <c r="FZ75" s="457">
        <f t="shared" si="125"/>
        <v>0</v>
      </c>
      <c r="GA75" s="457">
        <f t="shared" si="125"/>
        <v>0</v>
      </c>
      <c r="GB75" s="457">
        <f t="shared" si="125"/>
        <v>0</v>
      </c>
      <c r="GC75" s="457">
        <f t="shared" si="125"/>
        <v>0</v>
      </c>
      <c r="GD75" s="457">
        <f t="shared" si="125"/>
        <v>0</v>
      </c>
      <c r="GE75" s="457">
        <f t="shared" si="125"/>
        <v>0</v>
      </c>
      <c r="GF75" s="457">
        <f t="shared" si="125"/>
        <v>0</v>
      </c>
      <c r="GG75" s="457">
        <f>GG76+GG77</f>
        <v>0</v>
      </c>
      <c r="GH75" s="457">
        <f>GH76+GH77</f>
        <v>0</v>
      </c>
      <c r="GI75" s="453" t="s">
        <v>269</v>
      </c>
      <c r="GJ75" s="455">
        <f>CS75/C75</f>
        <v>0.9981657763989087</v>
      </c>
      <c r="GK75" s="455">
        <f>CT75/D75</f>
        <v>0.9979850427350427</v>
      </c>
      <c r="GL75" s="455">
        <f>CZ75/J75</f>
        <v>0.998150744994206</v>
      </c>
      <c r="GM75" s="455">
        <f>EO75/AY75</f>
        <v>1</v>
      </c>
      <c r="GN75" s="455"/>
    </row>
    <row r="76" spans="1:196" s="456" customFormat="1" ht="15" customHeight="1" hidden="1">
      <c r="A76" s="452"/>
      <c r="B76" s="453" t="s">
        <v>250</v>
      </c>
      <c r="C76" s="457">
        <f>D76+J76+AY76+CD76</f>
        <v>468000000</v>
      </c>
      <c r="D76" s="457">
        <f>SUM(E76:I76)</f>
        <v>468000000</v>
      </c>
      <c r="E76" s="457"/>
      <c r="F76" s="457"/>
      <c r="G76" s="457">
        <v>468000000</v>
      </c>
      <c r="H76" s="457"/>
      <c r="I76" s="457"/>
      <c r="J76" s="457">
        <f>SUM(K76:AX76)</f>
        <v>0</v>
      </c>
      <c r="K76" s="457"/>
      <c r="L76" s="457"/>
      <c r="M76" s="457"/>
      <c r="N76" s="457"/>
      <c r="O76" s="457"/>
      <c r="P76" s="457"/>
      <c r="Q76" s="457"/>
      <c r="R76" s="457"/>
      <c r="S76" s="457"/>
      <c r="T76" s="457"/>
      <c r="U76" s="457"/>
      <c r="V76" s="457"/>
      <c r="W76" s="457"/>
      <c r="X76" s="457"/>
      <c r="Y76" s="457"/>
      <c r="Z76" s="457"/>
      <c r="AA76" s="457"/>
      <c r="AB76" s="457"/>
      <c r="AC76" s="457"/>
      <c r="AD76" s="457"/>
      <c r="AE76" s="457"/>
      <c r="AF76" s="457"/>
      <c r="AG76" s="457"/>
      <c r="AH76" s="457"/>
      <c r="AI76" s="457"/>
      <c r="AJ76" s="457"/>
      <c r="AK76" s="457"/>
      <c r="AL76" s="457"/>
      <c r="AM76" s="457"/>
      <c r="AN76" s="457"/>
      <c r="AO76" s="457"/>
      <c r="AP76" s="457"/>
      <c r="AQ76" s="457"/>
      <c r="AR76" s="457"/>
      <c r="AS76" s="457"/>
      <c r="AT76" s="457"/>
      <c r="AU76" s="457"/>
      <c r="AV76" s="457"/>
      <c r="AW76" s="457"/>
      <c r="AX76" s="457"/>
      <c r="AY76" s="457">
        <f>SUM(AZ76:BA76)</f>
        <v>0</v>
      </c>
      <c r="AZ76" s="457">
        <f>SUM(BB76:BI76)+SUM(BQ76:BX76)</f>
        <v>0</v>
      </c>
      <c r="BA76" s="457">
        <f>SUM(BJ76:BP76)+SUM(BY76:CC76)</f>
        <v>0</v>
      </c>
      <c r="BB76" s="457"/>
      <c r="BC76" s="457"/>
      <c r="BD76" s="457"/>
      <c r="BE76" s="457"/>
      <c r="BF76" s="457"/>
      <c r="BG76" s="457"/>
      <c r="BH76" s="457"/>
      <c r="BI76" s="457"/>
      <c r="BJ76" s="457"/>
      <c r="BK76" s="457"/>
      <c r="BL76" s="457"/>
      <c r="BM76" s="457"/>
      <c r="BN76" s="457"/>
      <c r="BO76" s="457"/>
      <c r="BP76" s="457"/>
      <c r="BQ76" s="457"/>
      <c r="BR76" s="457"/>
      <c r="BS76" s="457"/>
      <c r="BT76" s="457"/>
      <c r="BU76" s="457"/>
      <c r="BV76" s="457"/>
      <c r="BW76" s="457"/>
      <c r="BX76" s="457"/>
      <c r="BY76" s="457"/>
      <c r="BZ76" s="457"/>
      <c r="CA76" s="457"/>
      <c r="CB76" s="457"/>
      <c r="CC76" s="457"/>
      <c r="CD76" s="457">
        <f>SUM(CE76:CF76)</f>
        <v>0</v>
      </c>
      <c r="CE76" s="457">
        <f>SUM(CG76:CI76)</f>
        <v>0</v>
      </c>
      <c r="CF76" s="457">
        <f>SUM(CJ76:CQ76)</f>
        <v>0</v>
      </c>
      <c r="CG76" s="457"/>
      <c r="CH76" s="457"/>
      <c r="CI76" s="457"/>
      <c r="CJ76" s="457"/>
      <c r="CK76" s="457"/>
      <c r="CL76" s="457"/>
      <c r="CM76" s="457"/>
      <c r="CN76" s="457"/>
      <c r="CO76" s="457"/>
      <c r="CP76" s="457"/>
      <c r="CQ76" s="457"/>
      <c r="CR76" s="453" t="s">
        <v>250</v>
      </c>
      <c r="CS76" s="457">
        <f>CT76+CZ76+EO76+FT76+GH76</f>
        <v>467057000</v>
      </c>
      <c r="CT76" s="457">
        <f>SUM(CU76:CY76)</f>
        <v>467057000</v>
      </c>
      <c r="CU76" s="457"/>
      <c r="CV76" s="457"/>
      <c r="CW76" s="457">
        <v>467057000</v>
      </c>
      <c r="CX76" s="457"/>
      <c r="CY76" s="457"/>
      <c r="CZ76" s="457">
        <f>SUM(DA76:EN76)</f>
        <v>0</v>
      </c>
      <c r="DA76" s="457"/>
      <c r="DB76" s="457"/>
      <c r="DC76" s="457"/>
      <c r="DD76" s="457"/>
      <c r="DE76" s="457"/>
      <c r="DF76" s="457"/>
      <c r="DG76" s="457"/>
      <c r="DH76" s="457"/>
      <c r="DI76" s="457"/>
      <c r="DJ76" s="457"/>
      <c r="DK76" s="457"/>
      <c r="DL76" s="457"/>
      <c r="DM76" s="457"/>
      <c r="DN76" s="457"/>
      <c r="DO76" s="457"/>
      <c r="DP76" s="457"/>
      <c r="DQ76" s="457"/>
      <c r="DR76" s="457"/>
      <c r="DS76" s="457"/>
      <c r="DT76" s="457"/>
      <c r="DU76" s="457"/>
      <c r="DV76" s="457"/>
      <c r="DW76" s="457"/>
      <c r="DX76" s="457"/>
      <c r="DY76" s="457"/>
      <c r="DZ76" s="457"/>
      <c r="EA76" s="457"/>
      <c r="EB76" s="457"/>
      <c r="EC76" s="457"/>
      <c r="ED76" s="457"/>
      <c r="EE76" s="457"/>
      <c r="EF76" s="457"/>
      <c r="EG76" s="457"/>
      <c r="EH76" s="457"/>
      <c r="EI76" s="457"/>
      <c r="EJ76" s="457"/>
      <c r="EK76" s="457"/>
      <c r="EL76" s="457"/>
      <c r="EM76" s="457"/>
      <c r="EN76" s="457"/>
      <c r="EO76" s="457">
        <f>SUM(EP76:EQ76)</f>
        <v>0</v>
      </c>
      <c r="EP76" s="457">
        <f>SUM(ER76:EY76)+SUM(FG76:FN76)</f>
        <v>0</v>
      </c>
      <c r="EQ76" s="457">
        <f>SUM(EZ76:FF76)+SUM(FO76:FS76)</f>
        <v>0</v>
      </c>
      <c r="ER76" s="457"/>
      <c r="ES76" s="457"/>
      <c r="ET76" s="457"/>
      <c r="EU76" s="457"/>
      <c r="EV76" s="457"/>
      <c r="EW76" s="457"/>
      <c r="EX76" s="457"/>
      <c r="EY76" s="457"/>
      <c r="EZ76" s="457"/>
      <c r="FA76" s="457"/>
      <c r="FB76" s="457"/>
      <c r="FC76" s="457"/>
      <c r="FD76" s="457"/>
      <c r="FE76" s="457"/>
      <c r="FF76" s="457"/>
      <c r="FG76" s="457"/>
      <c r="FH76" s="457"/>
      <c r="FI76" s="457"/>
      <c r="FJ76" s="457"/>
      <c r="FK76" s="457"/>
      <c r="FL76" s="457"/>
      <c r="FM76" s="457"/>
      <c r="FN76" s="457"/>
      <c r="FO76" s="457"/>
      <c r="FP76" s="457"/>
      <c r="FQ76" s="457"/>
      <c r="FR76" s="457"/>
      <c r="FS76" s="457"/>
      <c r="FT76" s="457">
        <f>SUM(FU76:FV76)</f>
        <v>0</v>
      </c>
      <c r="FU76" s="457">
        <f>SUM(FW76:FY76)</f>
        <v>0</v>
      </c>
      <c r="FV76" s="457">
        <f>SUM(FZ76:GG76)</f>
        <v>0</v>
      </c>
      <c r="FW76" s="457"/>
      <c r="FX76" s="457"/>
      <c r="FY76" s="457"/>
      <c r="FZ76" s="457"/>
      <c r="GA76" s="457"/>
      <c r="GB76" s="457"/>
      <c r="GC76" s="457"/>
      <c r="GD76" s="457"/>
      <c r="GE76" s="457"/>
      <c r="GF76" s="457"/>
      <c r="GG76" s="457"/>
      <c r="GH76" s="457"/>
      <c r="GI76" s="453" t="s">
        <v>250</v>
      </c>
      <c r="GJ76" s="455">
        <f>CS76/C76</f>
        <v>0.9979850427350427</v>
      </c>
      <c r="GK76" s="455">
        <f>CT76/D76</f>
        <v>0.9979850427350427</v>
      </c>
      <c r="GL76" s="455"/>
      <c r="GM76" s="455"/>
      <c r="GN76" s="455"/>
    </row>
    <row r="77" spans="1:196" s="456" customFormat="1" ht="15" customHeight="1" hidden="1">
      <c r="A77" s="452"/>
      <c r="B77" s="453" t="s">
        <v>251</v>
      </c>
      <c r="C77" s="457">
        <f>D77+J77+AY77+CD77</f>
        <v>3722874000</v>
      </c>
      <c r="D77" s="457">
        <f>SUM(E77:I77)</f>
        <v>0</v>
      </c>
      <c r="E77" s="457"/>
      <c r="F77" s="457"/>
      <c r="G77" s="457"/>
      <c r="H77" s="457"/>
      <c r="I77" s="457"/>
      <c r="J77" s="457">
        <f>SUM(K77:AX77)</f>
        <v>3646874000</v>
      </c>
      <c r="K77" s="457"/>
      <c r="L77" s="457"/>
      <c r="M77" s="457"/>
      <c r="N77" s="457"/>
      <c r="O77" s="457"/>
      <c r="P77" s="457"/>
      <c r="Q77" s="457"/>
      <c r="R77" s="457"/>
      <c r="S77" s="457"/>
      <c r="T77" s="457">
        <v>14598000</v>
      </c>
      <c r="U77" s="457"/>
      <c r="V77" s="457"/>
      <c r="W77" s="457"/>
      <c r="X77" s="457"/>
      <c r="Y77" s="457">
        <f>997000000+600000000+36000000</f>
        <v>1633000000</v>
      </c>
      <c r="Z77" s="457"/>
      <c r="AA77" s="457">
        <f>147646000+765000000</f>
        <v>912646000</v>
      </c>
      <c r="AB77" s="457"/>
      <c r="AC77" s="457"/>
      <c r="AD77" s="457"/>
      <c r="AE77" s="457"/>
      <c r="AF77" s="457"/>
      <c r="AG77" s="457"/>
      <c r="AH77" s="457"/>
      <c r="AI77" s="457"/>
      <c r="AJ77" s="457"/>
      <c r="AK77" s="457"/>
      <c r="AL77" s="457"/>
      <c r="AM77" s="457"/>
      <c r="AN77" s="457"/>
      <c r="AO77" s="457"/>
      <c r="AP77" s="457"/>
      <c r="AQ77" s="457"/>
      <c r="AR77" s="457"/>
      <c r="AS77" s="457"/>
      <c r="AT77" s="457"/>
      <c r="AU77" s="457">
        <f>399000000+655630000+12000000</f>
        <v>1066630000</v>
      </c>
      <c r="AV77" s="457">
        <v>20000000</v>
      </c>
      <c r="AW77" s="457"/>
      <c r="AX77" s="457"/>
      <c r="AY77" s="457">
        <f>SUM(AZ77:BA77)</f>
        <v>76000000</v>
      </c>
      <c r="AZ77" s="457">
        <f>SUM(BB77:BI77)+SUM(BQ77:BX77)</f>
        <v>0</v>
      </c>
      <c r="BA77" s="457">
        <f>SUM(BJ77:BP77)+SUM(BY77:CC77)</f>
        <v>76000000</v>
      </c>
      <c r="BB77" s="457"/>
      <c r="BC77" s="457"/>
      <c r="BD77" s="457"/>
      <c r="BE77" s="457"/>
      <c r="BF77" s="457"/>
      <c r="BG77" s="457"/>
      <c r="BH77" s="457"/>
      <c r="BI77" s="457"/>
      <c r="BJ77" s="457"/>
      <c r="BK77" s="457"/>
      <c r="BL77" s="457"/>
      <c r="BM77" s="457"/>
      <c r="BN77" s="457"/>
      <c r="BO77" s="457">
        <v>76000000</v>
      </c>
      <c r="BP77" s="457"/>
      <c r="BQ77" s="457"/>
      <c r="BR77" s="457"/>
      <c r="BS77" s="457"/>
      <c r="BT77" s="457"/>
      <c r="BU77" s="457"/>
      <c r="BV77" s="457"/>
      <c r="BW77" s="457"/>
      <c r="BX77" s="457"/>
      <c r="BY77" s="457"/>
      <c r="BZ77" s="457"/>
      <c r="CA77" s="457"/>
      <c r="CB77" s="457"/>
      <c r="CC77" s="457"/>
      <c r="CD77" s="457">
        <f>SUM(CE77:CF77)</f>
        <v>0</v>
      </c>
      <c r="CE77" s="457">
        <f>SUM(CG77:CI77)</f>
        <v>0</v>
      </c>
      <c r="CF77" s="457">
        <f>SUM(CJ77:CQ77)</f>
        <v>0</v>
      </c>
      <c r="CG77" s="457"/>
      <c r="CH77" s="457"/>
      <c r="CI77" s="457"/>
      <c r="CJ77" s="457"/>
      <c r="CK77" s="457"/>
      <c r="CL77" s="457"/>
      <c r="CM77" s="457"/>
      <c r="CN77" s="457"/>
      <c r="CO77" s="457"/>
      <c r="CP77" s="457"/>
      <c r="CQ77" s="457"/>
      <c r="CR77" s="453" t="s">
        <v>251</v>
      </c>
      <c r="CS77" s="457">
        <f>CT77+CZ77+EO77+FT77+GH77</f>
        <v>3716130000</v>
      </c>
      <c r="CT77" s="457">
        <f>SUM(CU77:CY77)</f>
        <v>0</v>
      </c>
      <c r="CU77" s="457"/>
      <c r="CV77" s="457"/>
      <c r="CW77" s="457"/>
      <c r="CX77" s="457"/>
      <c r="CY77" s="457"/>
      <c r="CZ77" s="457">
        <f>SUM(DA77:EN77)</f>
        <v>3640130000</v>
      </c>
      <c r="DA77" s="457"/>
      <c r="DB77" s="457"/>
      <c r="DC77" s="457"/>
      <c r="DD77" s="457"/>
      <c r="DE77" s="457"/>
      <c r="DF77" s="457"/>
      <c r="DG77" s="457"/>
      <c r="DH77" s="457"/>
      <c r="DI77" s="457"/>
      <c r="DJ77" s="457">
        <v>14598000</v>
      </c>
      <c r="DK77" s="457"/>
      <c r="DL77" s="457"/>
      <c r="DM77" s="457"/>
      <c r="DN77" s="457"/>
      <c r="DO77" s="457">
        <v>1633000000</v>
      </c>
      <c r="DP77" s="457"/>
      <c r="DQ77" s="457">
        <v>912646000</v>
      </c>
      <c r="DR77" s="457"/>
      <c r="DS77" s="457"/>
      <c r="DT77" s="457"/>
      <c r="DU77" s="457"/>
      <c r="DV77" s="457"/>
      <c r="DW77" s="457"/>
      <c r="DX77" s="457"/>
      <c r="DY77" s="457"/>
      <c r="DZ77" s="457"/>
      <c r="EA77" s="457"/>
      <c r="EB77" s="457"/>
      <c r="EC77" s="457"/>
      <c r="ED77" s="457"/>
      <c r="EE77" s="457"/>
      <c r="EF77" s="457"/>
      <c r="EG77" s="457"/>
      <c r="EH77" s="457"/>
      <c r="EI77" s="457"/>
      <c r="EJ77" s="457"/>
      <c r="EK77" s="457">
        <f>399000000+648886000+12000000</f>
        <v>1059886000</v>
      </c>
      <c r="EL77" s="457">
        <v>20000000</v>
      </c>
      <c r="EM77" s="457"/>
      <c r="EN77" s="457"/>
      <c r="EO77" s="457">
        <f>SUM(EP77:EQ77)</f>
        <v>76000000</v>
      </c>
      <c r="EP77" s="457">
        <f>SUM(ER77:EY77)+SUM(FG77:FN77)</f>
        <v>0</v>
      </c>
      <c r="EQ77" s="457">
        <f>SUM(EZ77:FF77)+SUM(FO77:FS77)</f>
        <v>76000000</v>
      </c>
      <c r="ER77" s="457"/>
      <c r="ES77" s="457"/>
      <c r="ET77" s="457"/>
      <c r="EU77" s="457"/>
      <c r="EV77" s="457"/>
      <c r="EW77" s="457"/>
      <c r="EX77" s="457"/>
      <c r="EY77" s="457"/>
      <c r="EZ77" s="457"/>
      <c r="FA77" s="457"/>
      <c r="FB77" s="457"/>
      <c r="FC77" s="457"/>
      <c r="FD77" s="457"/>
      <c r="FE77" s="457">
        <v>76000000</v>
      </c>
      <c r="FF77" s="457"/>
      <c r="FG77" s="457"/>
      <c r="FH77" s="457"/>
      <c r="FI77" s="457"/>
      <c r="FJ77" s="457"/>
      <c r="FK77" s="457"/>
      <c r="FL77" s="457"/>
      <c r="FM77" s="457"/>
      <c r="FN77" s="457"/>
      <c r="FO77" s="457"/>
      <c r="FP77" s="457"/>
      <c r="FQ77" s="457"/>
      <c r="FR77" s="457"/>
      <c r="FS77" s="457"/>
      <c r="FT77" s="457">
        <f>SUM(FU77:FV77)</f>
        <v>0</v>
      </c>
      <c r="FU77" s="457">
        <f>SUM(FW77:FY77)</f>
        <v>0</v>
      </c>
      <c r="FV77" s="457">
        <f>SUM(FZ77:GG77)</f>
        <v>0</v>
      </c>
      <c r="FW77" s="457"/>
      <c r="FX77" s="457"/>
      <c r="FY77" s="457"/>
      <c r="FZ77" s="457"/>
      <c r="GA77" s="457"/>
      <c r="GB77" s="457"/>
      <c r="GC77" s="457"/>
      <c r="GD77" s="457"/>
      <c r="GE77" s="457"/>
      <c r="GF77" s="457"/>
      <c r="GG77" s="457"/>
      <c r="GH77" s="457"/>
      <c r="GI77" s="453" t="s">
        <v>251</v>
      </c>
      <c r="GJ77" s="455">
        <f>CS77/C77</f>
        <v>0.9981884963068854</v>
      </c>
      <c r="GK77" s="455"/>
      <c r="GL77" s="455">
        <f>CZ77/J77</f>
        <v>0.998150744994206</v>
      </c>
      <c r="GM77" s="455">
        <f>EO77/AY77</f>
        <v>1</v>
      </c>
      <c r="GN77" s="455"/>
    </row>
    <row r="78" spans="1:196" s="456" customFormat="1" ht="15" customHeight="1">
      <c r="A78" s="452">
        <v>22</v>
      </c>
      <c r="B78" s="453" t="s">
        <v>477</v>
      </c>
      <c r="C78" s="457">
        <f aca="true" t="shared" si="126" ref="C78:AJ78">C79+C80</f>
        <v>1108472000</v>
      </c>
      <c r="D78" s="457">
        <f t="shared" si="126"/>
        <v>0</v>
      </c>
      <c r="E78" s="457">
        <f t="shared" si="126"/>
        <v>0</v>
      </c>
      <c r="F78" s="457">
        <f t="shared" si="126"/>
        <v>0</v>
      </c>
      <c r="G78" s="457">
        <f t="shared" si="126"/>
        <v>0</v>
      </c>
      <c r="H78" s="457">
        <f>H79+H80</f>
        <v>0</v>
      </c>
      <c r="I78" s="457">
        <f t="shared" si="126"/>
        <v>0</v>
      </c>
      <c r="J78" s="457">
        <f t="shared" si="126"/>
        <v>1108472000</v>
      </c>
      <c r="K78" s="457">
        <f t="shared" si="126"/>
        <v>0</v>
      </c>
      <c r="L78" s="457">
        <f t="shared" si="126"/>
        <v>0</v>
      </c>
      <c r="M78" s="457">
        <f t="shared" si="126"/>
        <v>0</v>
      </c>
      <c r="N78" s="457">
        <f t="shared" si="126"/>
        <v>0</v>
      </c>
      <c r="O78" s="457">
        <f t="shared" si="126"/>
        <v>0</v>
      </c>
      <c r="P78" s="457">
        <f t="shared" si="126"/>
        <v>0</v>
      </c>
      <c r="Q78" s="457">
        <f t="shared" si="126"/>
        <v>0</v>
      </c>
      <c r="R78" s="457">
        <f t="shared" si="126"/>
        <v>0</v>
      </c>
      <c r="S78" s="457">
        <f t="shared" si="126"/>
        <v>10472000</v>
      </c>
      <c r="T78" s="457">
        <f t="shared" si="126"/>
        <v>1098000000</v>
      </c>
      <c r="U78" s="457">
        <f t="shared" si="126"/>
        <v>0</v>
      </c>
      <c r="V78" s="457">
        <f>V79+V80</f>
        <v>0</v>
      </c>
      <c r="W78" s="457">
        <f>W79+W80</f>
        <v>0</v>
      </c>
      <c r="X78" s="457">
        <f t="shared" si="126"/>
        <v>0</v>
      </c>
      <c r="Y78" s="457">
        <f t="shared" si="126"/>
        <v>0</v>
      </c>
      <c r="Z78" s="457">
        <f t="shared" si="126"/>
        <v>0</v>
      </c>
      <c r="AA78" s="457">
        <f t="shared" si="126"/>
        <v>0</v>
      </c>
      <c r="AB78" s="457">
        <f t="shared" si="126"/>
        <v>0</v>
      </c>
      <c r="AC78" s="457">
        <f t="shared" si="126"/>
        <v>0</v>
      </c>
      <c r="AD78" s="457">
        <f t="shared" si="126"/>
        <v>0</v>
      </c>
      <c r="AE78" s="457">
        <f t="shared" si="126"/>
        <v>0</v>
      </c>
      <c r="AF78" s="457">
        <f t="shared" si="126"/>
        <v>0</v>
      </c>
      <c r="AG78" s="457">
        <f>AG79+AG80</f>
        <v>0</v>
      </c>
      <c r="AH78" s="457">
        <f t="shared" si="126"/>
        <v>0</v>
      </c>
      <c r="AI78" s="457">
        <f t="shared" si="126"/>
        <v>0</v>
      </c>
      <c r="AJ78" s="457">
        <f t="shared" si="126"/>
        <v>0</v>
      </c>
      <c r="AK78" s="457">
        <f aca="true" t="shared" si="127" ref="AK78:BL78">AK79+AK80</f>
        <v>0</v>
      </c>
      <c r="AL78" s="457">
        <f t="shared" si="127"/>
        <v>0</v>
      </c>
      <c r="AM78" s="457">
        <f t="shared" si="127"/>
        <v>0</v>
      </c>
      <c r="AN78" s="457">
        <f t="shared" si="127"/>
        <v>0</v>
      </c>
      <c r="AO78" s="457">
        <f t="shared" si="127"/>
        <v>0</v>
      </c>
      <c r="AP78" s="457">
        <f t="shared" si="127"/>
        <v>0</v>
      </c>
      <c r="AQ78" s="457">
        <f t="shared" si="127"/>
        <v>0</v>
      </c>
      <c r="AR78" s="457">
        <f t="shared" si="127"/>
        <v>0</v>
      </c>
      <c r="AS78" s="457">
        <f t="shared" si="127"/>
        <v>0</v>
      </c>
      <c r="AT78" s="457">
        <f t="shared" si="127"/>
        <v>0</v>
      </c>
      <c r="AU78" s="457">
        <f t="shared" si="127"/>
        <v>0</v>
      </c>
      <c r="AV78" s="457">
        <f t="shared" si="127"/>
        <v>0</v>
      </c>
      <c r="AW78" s="457">
        <f t="shared" si="127"/>
        <v>0</v>
      </c>
      <c r="AX78" s="457">
        <f t="shared" si="127"/>
        <v>0</v>
      </c>
      <c r="AY78" s="457">
        <f t="shared" si="127"/>
        <v>0</v>
      </c>
      <c r="AZ78" s="457">
        <f t="shared" si="127"/>
        <v>0</v>
      </c>
      <c r="BA78" s="457">
        <f t="shared" si="127"/>
        <v>0</v>
      </c>
      <c r="BB78" s="457">
        <f t="shared" si="127"/>
        <v>0</v>
      </c>
      <c r="BC78" s="457">
        <f t="shared" si="127"/>
        <v>0</v>
      </c>
      <c r="BD78" s="457">
        <f t="shared" si="127"/>
        <v>0</v>
      </c>
      <c r="BE78" s="457">
        <f t="shared" si="127"/>
        <v>0</v>
      </c>
      <c r="BF78" s="457">
        <f t="shared" si="127"/>
        <v>0</v>
      </c>
      <c r="BG78" s="457">
        <f t="shared" si="127"/>
        <v>0</v>
      </c>
      <c r="BH78" s="457">
        <f t="shared" si="127"/>
        <v>0</v>
      </c>
      <c r="BI78" s="457">
        <f>BI79+BI80</f>
        <v>0</v>
      </c>
      <c r="BJ78" s="457">
        <f t="shared" si="127"/>
        <v>0</v>
      </c>
      <c r="BK78" s="457">
        <f t="shared" si="127"/>
        <v>0</v>
      </c>
      <c r="BL78" s="457">
        <f t="shared" si="127"/>
        <v>0</v>
      </c>
      <c r="BM78" s="457">
        <f aca="true" t="shared" si="128" ref="BM78:CF78">BM79+BM80</f>
        <v>0</v>
      </c>
      <c r="BN78" s="457">
        <f>BN79+BN80</f>
        <v>0</v>
      </c>
      <c r="BO78" s="457">
        <f t="shared" si="128"/>
        <v>0</v>
      </c>
      <c r="BP78" s="457">
        <f t="shared" si="128"/>
        <v>0</v>
      </c>
      <c r="BQ78" s="457">
        <f t="shared" si="128"/>
        <v>0</v>
      </c>
      <c r="BR78" s="457">
        <f t="shared" si="128"/>
        <v>0</v>
      </c>
      <c r="BS78" s="457">
        <f t="shared" si="128"/>
        <v>0</v>
      </c>
      <c r="BT78" s="457">
        <f t="shared" si="128"/>
        <v>0</v>
      </c>
      <c r="BU78" s="457">
        <f t="shared" si="128"/>
        <v>0</v>
      </c>
      <c r="BV78" s="457">
        <f t="shared" si="128"/>
        <v>0</v>
      </c>
      <c r="BW78" s="457">
        <f t="shared" si="128"/>
        <v>0</v>
      </c>
      <c r="BX78" s="457">
        <f t="shared" si="128"/>
        <v>0</v>
      </c>
      <c r="BY78" s="457">
        <f t="shared" si="128"/>
        <v>0</v>
      </c>
      <c r="BZ78" s="457">
        <f t="shared" si="128"/>
        <v>0</v>
      </c>
      <c r="CA78" s="457">
        <f>CA79+CA80</f>
        <v>0</v>
      </c>
      <c r="CB78" s="457">
        <f t="shared" si="128"/>
        <v>0</v>
      </c>
      <c r="CC78" s="457">
        <f t="shared" si="128"/>
        <v>0</v>
      </c>
      <c r="CD78" s="457">
        <f t="shared" si="128"/>
        <v>0</v>
      </c>
      <c r="CE78" s="457">
        <f t="shared" si="128"/>
        <v>0</v>
      </c>
      <c r="CF78" s="457">
        <f t="shared" si="128"/>
        <v>0</v>
      </c>
      <c r="CG78" s="457">
        <f aca="true" t="shared" si="129" ref="CG78:CP78">CG79+CG80</f>
        <v>0</v>
      </c>
      <c r="CH78" s="457">
        <f>CH79+CH80</f>
        <v>0</v>
      </c>
      <c r="CI78" s="457">
        <f>CI79+CI80</f>
        <v>0</v>
      </c>
      <c r="CJ78" s="457">
        <f t="shared" si="129"/>
        <v>0</v>
      </c>
      <c r="CK78" s="457">
        <f t="shared" si="129"/>
        <v>0</v>
      </c>
      <c r="CL78" s="457">
        <f t="shared" si="129"/>
        <v>0</v>
      </c>
      <c r="CM78" s="457">
        <f t="shared" si="129"/>
        <v>0</v>
      </c>
      <c r="CN78" s="457">
        <f t="shared" si="129"/>
        <v>0</v>
      </c>
      <c r="CO78" s="457">
        <f t="shared" si="129"/>
        <v>0</v>
      </c>
      <c r="CP78" s="457">
        <f t="shared" si="129"/>
        <v>0</v>
      </c>
      <c r="CQ78" s="457">
        <f>CQ79+CQ80</f>
        <v>0</v>
      </c>
      <c r="CR78" s="453" t="s">
        <v>270</v>
      </c>
      <c r="CS78" s="457">
        <f aca="true" t="shared" si="130" ref="CS78:EL78">CS79+CS80</f>
        <v>1108472000</v>
      </c>
      <c r="CT78" s="457">
        <f t="shared" si="130"/>
        <v>0</v>
      </c>
      <c r="CU78" s="457">
        <f t="shared" si="130"/>
        <v>0</v>
      </c>
      <c r="CV78" s="457">
        <f t="shared" si="130"/>
        <v>0</v>
      </c>
      <c r="CW78" s="457">
        <f t="shared" si="130"/>
        <v>0</v>
      </c>
      <c r="CX78" s="457">
        <f>CX79+CX80</f>
        <v>0</v>
      </c>
      <c r="CY78" s="457">
        <f t="shared" si="130"/>
        <v>0</v>
      </c>
      <c r="CZ78" s="457">
        <f t="shared" si="130"/>
        <v>1108472000</v>
      </c>
      <c r="DA78" s="457">
        <f t="shared" si="130"/>
        <v>0</v>
      </c>
      <c r="DB78" s="457">
        <f t="shared" si="130"/>
        <v>0</v>
      </c>
      <c r="DC78" s="457">
        <f t="shared" si="130"/>
        <v>0</v>
      </c>
      <c r="DD78" s="457">
        <f t="shared" si="130"/>
        <v>0</v>
      </c>
      <c r="DE78" s="457">
        <f t="shared" si="130"/>
        <v>0</v>
      </c>
      <c r="DF78" s="457">
        <f t="shared" si="130"/>
        <v>0</v>
      </c>
      <c r="DG78" s="457">
        <f t="shared" si="130"/>
        <v>0</v>
      </c>
      <c r="DH78" s="457">
        <f t="shared" si="130"/>
        <v>0</v>
      </c>
      <c r="DI78" s="457">
        <f t="shared" si="130"/>
        <v>10472000</v>
      </c>
      <c r="DJ78" s="457">
        <f t="shared" si="130"/>
        <v>1098000000</v>
      </c>
      <c r="DK78" s="457">
        <f t="shared" si="130"/>
        <v>0</v>
      </c>
      <c r="DL78" s="457">
        <f>DL79+DL80</f>
        <v>0</v>
      </c>
      <c r="DM78" s="457">
        <f>DM79+DM80</f>
        <v>0</v>
      </c>
      <c r="DN78" s="457">
        <f t="shared" si="130"/>
        <v>0</v>
      </c>
      <c r="DO78" s="457">
        <f t="shared" si="130"/>
        <v>0</v>
      </c>
      <c r="DP78" s="457">
        <f t="shared" si="130"/>
        <v>0</v>
      </c>
      <c r="DQ78" s="457">
        <f t="shared" si="130"/>
        <v>0</v>
      </c>
      <c r="DR78" s="457">
        <f t="shared" si="130"/>
        <v>0</v>
      </c>
      <c r="DS78" s="457">
        <f t="shared" si="130"/>
        <v>0</v>
      </c>
      <c r="DT78" s="457">
        <f t="shared" si="130"/>
        <v>0</v>
      </c>
      <c r="DU78" s="457">
        <f t="shared" si="130"/>
        <v>0</v>
      </c>
      <c r="DV78" s="457">
        <f t="shared" si="130"/>
        <v>0</v>
      </c>
      <c r="DW78" s="457">
        <f>DW79+DW80</f>
        <v>0</v>
      </c>
      <c r="DX78" s="457">
        <f t="shared" si="130"/>
        <v>0</v>
      </c>
      <c r="DY78" s="457">
        <f t="shared" si="130"/>
        <v>0</v>
      </c>
      <c r="DZ78" s="457">
        <f t="shared" si="130"/>
        <v>0</v>
      </c>
      <c r="EA78" s="457">
        <f t="shared" si="130"/>
        <v>0</v>
      </c>
      <c r="EB78" s="457">
        <f t="shared" si="130"/>
        <v>0</v>
      </c>
      <c r="EC78" s="457">
        <f t="shared" si="130"/>
        <v>0</v>
      </c>
      <c r="ED78" s="457">
        <f t="shared" si="130"/>
        <v>0</v>
      </c>
      <c r="EE78" s="457">
        <f t="shared" si="130"/>
        <v>0</v>
      </c>
      <c r="EF78" s="457">
        <f t="shared" si="130"/>
        <v>0</v>
      </c>
      <c r="EG78" s="457">
        <f t="shared" si="130"/>
        <v>0</v>
      </c>
      <c r="EH78" s="457">
        <f t="shared" si="130"/>
        <v>0</v>
      </c>
      <c r="EI78" s="457">
        <f t="shared" si="130"/>
        <v>0</v>
      </c>
      <c r="EJ78" s="457">
        <f t="shared" si="130"/>
        <v>0</v>
      </c>
      <c r="EK78" s="457">
        <f t="shared" si="130"/>
        <v>0</v>
      </c>
      <c r="EL78" s="457">
        <f t="shared" si="130"/>
        <v>0</v>
      </c>
      <c r="EM78" s="457">
        <f aca="true" t="shared" si="131" ref="EM78:GF78">EM79+EM80</f>
        <v>0</v>
      </c>
      <c r="EN78" s="457">
        <f t="shared" si="131"/>
        <v>0</v>
      </c>
      <c r="EO78" s="457">
        <f t="shared" si="131"/>
        <v>0</v>
      </c>
      <c r="EP78" s="457">
        <f t="shared" si="131"/>
        <v>0</v>
      </c>
      <c r="EQ78" s="457">
        <f t="shared" si="131"/>
        <v>0</v>
      </c>
      <c r="ER78" s="457">
        <f t="shared" si="131"/>
        <v>0</v>
      </c>
      <c r="ES78" s="457">
        <f t="shared" si="131"/>
        <v>0</v>
      </c>
      <c r="ET78" s="457">
        <f t="shared" si="131"/>
        <v>0</v>
      </c>
      <c r="EU78" s="457">
        <f t="shared" si="131"/>
        <v>0</v>
      </c>
      <c r="EV78" s="457">
        <f t="shared" si="131"/>
        <v>0</v>
      </c>
      <c r="EW78" s="457">
        <f t="shared" si="131"/>
        <v>0</v>
      </c>
      <c r="EX78" s="457">
        <f t="shared" si="131"/>
        <v>0</v>
      </c>
      <c r="EY78" s="457">
        <f>EY79+EY80</f>
        <v>0</v>
      </c>
      <c r="EZ78" s="457">
        <f t="shared" si="131"/>
        <v>0</v>
      </c>
      <c r="FA78" s="457">
        <f t="shared" si="131"/>
        <v>0</v>
      </c>
      <c r="FB78" s="457">
        <f t="shared" si="131"/>
        <v>0</v>
      </c>
      <c r="FC78" s="457">
        <f t="shared" si="131"/>
        <v>0</v>
      </c>
      <c r="FD78" s="457">
        <f>FD79+FD80</f>
        <v>0</v>
      </c>
      <c r="FE78" s="457">
        <f t="shared" si="131"/>
        <v>0</v>
      </c>
      <c r="FF78" s="457">
        <f t="shared" si="131"/>
        <v>0</v>
      </c>
      <c r="FG78" s="457">
        <f t="shared" si="131"/>
        <v>0</v>
      </c>
      <c r="FH78" s="457">
        <f t="shared" si="131"/>
        <v>0</v>
      </c>
      <c r="FI78" s="457">
        <f t="shared" si="131"/>
        <v>0</v>
      </c>
      <c r="FJ78" s="457">
        <f t="shared" si="131"/>
        <v>0</v>
      </c>
      <c r="FK78" s="457">
        <f t="shared" si="131"/>
        <v>0</v>
      </c>
      <c r="FL78" s="457">
        <f t="shared" si="131"/>
        <v>0</v>
      </c>
      <c r="FM78" s="457">
        <f t="shared" si="131"/>
        <v>0</v>
      </c>
      <c r="FN78" s="457">
        <f t="shared" si="131"/>
        <v>0</v>
      </c>
      <c r="FO78" s="457">
        <f t="shared" si="131"/>
        <v>0</v>
      </c>
      <c r="FP78" s="457">
        <f t="shared" si="131"/>
        <v>0</v>
      </c>
      <c r="FQ78" s="457">
        <f>FQ79+FQ80</f>
        <v>0</v>
      </c>
      <c r="FR78" s="457">
        <f t="shared" si="131"/>
        <v>0</v>
      </c>
      <c r="FS78" s="457">
        <f t="shared" si="131"/>
        <v>0</v>
      </c>
      <c r="FT78" s="457">
        <f t="shared" si="131"/>
        <v>0</v>
      </c>
      <c r="FU78" s="457">
        <f t="shared" si="131"/>
        <v>0</v>
      </c>
      <c r="FV78" s="457">
        <f t="shared" si="131"/>
        <v>0</v>
      </c>
      <c r="FW78" s="457">
        <f t="shared" si="131"/>
        <v>0</v>
      </c>
      <c r="FX78" s="457">
        <f>FX79+FX80</f>
        <v>0</v>
      </c>
      <c r="FY78" s="457"/>
      <c r="FZ78" s="457">
        <f t="shared" si="131"/>
        <v>0</v>
      </c>
      <c r="GA78" s="457">
        <f t="shared" si="131"/>
        <v>0</v>
      </c>
      <c r="GB78" s="457">
        <f t="shared" si="131"/>
        <v>0</v>
      </c>
      <c r="GC78" s="457">
        <f t="shared" si="131"/>
        <v>0</v>
      </c>
      <c r="GD78" s="457">
        <f t="shared" si="131"/>
        <v>0</v>
      </c>
      <c r="GE78" s="457">
        <f t="shared" si="131"/>
        <v>0</v>
      </c>
      <c r="GF78" s="457">
        <f t="shared" si="131"/>
        <v>0</v>
      </c>
      <c r="GG78" s="457">
        <f>GG79+GG80</f>
        <v>0</v>
      </c>
      <c r="GH78" s="457">
        <f>GH79+GH80</f>
        <v>0</v>
      </c>
      <c r="GI78" s="453" t="s">
        <v>270</v>
      </c>
      <c r="GJ78" s="455">
        <f>CS78/C78</f>
        <v>1</v>
      </c>
      <c r="GK78" s="455"/>
      <c r="GL78" s="455">
        <f>CZ78/J78</f>
        <v>1</v>
      </c>
      <c r="GM78" s="455"/>
      <c r="GN78" s="455"/>
    </row>
    <row r="79" spans="1:196" s="456" customFormat="1" ht="15" customHeight="1" hidden="1">
      <c r="A79" s="452"/>
      <c r="B79" s="453" t="s">
        <v>250</v>
      </c>
      <c r="C79" s="457">
        <f>D79+J79+AY79+CD79</f>
        <v>0</v>
      </c>
      <c r="D79" s="457">
        <f>SUM(E79:I79)</f>
        <v>0</v>
      </c>
      <c r="E79" s="457"/>
      <c r="F79" s="457"/>
      <c r="G79" s="457"/>
      <c r="H79" s="457"/>
      <c r="I79" s="457"/>
      <c r="J79" s="457">
        <f>SUM(K79:AX79)</f>
        <v>0</v>
      </c>
      <c r="K79" s="457"/>
      <c r="L79" s="457"/>
      <c r="M79" s="457"/>
      <c r="N79" s="457"/>
      <c r="O79" s="457"/>
      <c r="P79" s="457"/>
      <c r="Q79" s="457"/>
      <c r="R79" s="457"/>
      <c r="S79" s="457"/>
      <c r="T79" s="457"/>
      <c r="U79" s="457"/>
      <c r="V79" s="457"/>
      <c r="W79" s="457"/>
      <c r="X79" s="457"/>
      <c r="Y79" s="457"/>
      <c r="Z79" s="457"/>
      <c r="AA79" s="457"/>
      <c r="AB79" s="457"/>
      <c r="AC79" s="457"/>
      <c r="AD79" s="457"/>
      <c r="AE79" s="457"/>
      <c r="AF79" s="457"/>
      <c r="AG79" s="457"/>
      <c r="AH79" s="457"/>
      <c r="AI79" s="457"/>
      <c r="AJ79" s="457"/>
      <c r="AK79" s="457"/>
      <c r="AL79" s="457"/>
      <c r="AM79" s="457"/>
      <c r="AN79" s="457"/>
      <c r="AO79" s="457"/>
      <c r="AP79" s="457"/>
      <c r="AQ79" s="457"/>
      <c r="AR79" s="457"/>
      <c r="AS79" s="457"/>
      <c r="AT79" s="457"/>
      <c r="AU79" s="457"/>
      <c r="AV79" s="457"/>
      <c r="AW79" s="457"/>
      <c r="AX79" s="457"/>
      <c r="AY79" s="457">
        <f>SUM(AZ79:BA79)</f>
        <v>0</v>
      </c>
      <c r="AZ79" s="457">
        <f>SUM(BB79:BI79)+SUM(BQ79:BX79)</f>
        <v>0</v>
      </c>
      <c r="BA79" s="457">
        <f>SUM(BJ79:BP79)+SUM(BY79:CC79)</f>
        <v>0</v>
      </c>
      <c r="BB79" s="457"/>
      <c r="BC79" s="457"/>
      <c r="BD79" s="457"/>
      <c r="BE79" s="457"/>
      <c r="BF79" s="457"/>
      <c r="BG79" s="457"/>
      <c r="BH79" s="457"/>
      <c r="BI79" s="457"/>
      <c r="BJ79" s="457"/>
      <c r="BK79" s="457"/>
      <c r="BL79" s="457"/>
      <c r="BM79" s="457"/>
      <c r="BN79" s="457"/>
      <c r="BO79" s="457"/>
      <c r="BP79" s="457"/>
      <c r="BQ79" s="457"/>
      <c r="BR79" s="457"/>
      <c r="BS79" s="457"/>
      <c r="BT79" s="457"/>
      <c r="BU79" s="457"/>
      <c r="BV79" s="457"/>
      <c r="BW79" s="457"/>
      <c r="BX79" s="457"/>
      <c r="BY79" s="457"/>
      <c r="BZ79" s="457"/>
      <c r="CA79" s="457"/>
      <c r="CB79" s="457"/>
      <c r="CC79" s="457"/>
      <c r="CD79" s="457">
        <f>SUM(CE79:CF79)</f>
        <v>0</v>
      </c>
      <c r="CE79" s="457">
        <f>SUM(CG79:CI79)</f>
        <v>0</v>
      </c>
      <c r="CF79" s="457">
        <f>SUM(CJ79:CQ79)</f>
        <v>0</v>
      </c>
      <c r="CG79" s="457"/>
      <c r="CH79" s="457"/>
      <c r="CI79" s="457"/>
      <c r="CJ79" s="457"/>
      <c r="CK79" s="457"/>
      <c r="CL79" s="457"/>
      <c r="CM79" s="457"/>
      <c r="CN79" s="457"/>
      <c r="CO79" s="457"/>
      <c r="CP79" s="457"/>
      <c r="CQ79" s="457"/>
      <c r="CR79" s="453" t="s">
        <v>250</v>
      </c>
      <c r="CS79" s="457">
        <f>CT79+CZ79+EO79+FT79+GH79</f>
        <v>0</v>
      </c>
      <c r="CT79" s="457">
        <f>SUM(CU79:CY79)</f>
        <v>0</v>
      </c>
      <c r="CU79" s="457"/>
      <c r="CV79" s="457"/>
      <c r="CW79" s="457"/>
      <c r="CX79" s="457"/>
      <c r="CY79" s="457"/>
      <c r="CZ79" s="457">
        <f>SUM(DA79:EN79)</f>
        <v>0</v>
      </c>
      <c r="DA79" s="457"/>
      <c r="DB79" s="457"/>
      <c r="DC79" s="457"/>
      <c r="DD79" s="457"/>
      <c r="DE79" s="457"/>
      <c r="DF79" s="457"/>
      <c r="DG79" s="457"/>
      <c r="DH79" s="457"/>
      <c r="DI79" s="457"/>
      <c r="DJ79" s="457"/>
      <c r="DK79" s="457"/>
      <c r="DL79" s="457"/>
      <c r="DM79" s="457"/>
      <c r="DN79" s="457"/>
      <c r="DO79" s="457"/>
      <c r="DP79" s="457"/>
      <c r="DQ79" s="457"/>
      <c r="DR79" s="457"/>
      <c r="DS79" s="457"/>
      <c r="DT79" s="457"/>
      <c r="DU79" s="457"/>
      <c r="DV79" s="457"/>
      <c r="DW79" s="457"/>
      <c r="DX79" s="457"/>
      <c r="DY79" s="457"/>
      <c r="DZ79" s="457"/>
      <c r="EA79" s="457"/>
      <c r="EB79" s="457"/>
      <c r="EC79" s="457"/>
      <c r="ED79" s="457"/>
      <c r="EE79" s="457"/>
      <c r="EF79" s="457"/>
      <c r="EG79" s="457"/>
      <c r="EH79" s="457"/>
      <c r="EI79" s="457"/>
      <c r="EJ79" s="457"/>
      <c r="EK79" s="457"/>
      <c r="EL79" s="457"/>
      <c r="EM79" s="457"/>
      <c r="EN79" s="457"/>
      <c r="EO79" s="457">
        <f>SUM(EP79:EQ79)</f>
        <v>0</v>
      </c>
      <c r="EP79" s="457">
        <f>SUM(ER79:EY79)+SUM(FG79:FN79)</f>
        <v>0</v>
      </c>
      <c r="EQ79" s="457">
        <f>SUM(EZ79:FF79)+SUM(FO79:FS79)</f>
        <v>0</v>
      </c>
      <c r="ER79" s="457"/>
      <c r="ES79" s="457"/>
      <c r="ET79" s="457"/>
      <c r="EU79" s="457"/>
      <c r="EV79" s="457"/>
      <c r="EW79" s="457"/>
      <c r="EX79" s="457"/>
      <c r="EY79" s="457"/>
      <c r="EZ79" s="457"/>
      <c r="FA79" s="457"/>
      <c r="FB79" s="457"/>
      <c r="FC79" s="457"/>
      <c r="FD79" s="457"/>
      <c r="FE79" s="457"/>
      <c r="FF79" s="457"/>
      <c r="FG79" s="457"/>
      <c r="FH79" s="457"/>
      <c r="FI79" s="457"/>
      <c r="FJ79" s="457"/>
      <c r="FK79" s="457"/>
      <c r="FL79" s="457"/>
      <c r="FM79" s="457"/>
      <c r="FN79" s="457"/>
      <c r="FO79" s="457"/>
      <c r="FP79" s="457"/>
      <c r="FQ79" s="457"/>
      <c r="FR79" s="457"/>
      <c r="FS79" s="457"/>
      <c r="FT79" s="457">
        <f>SUM(FU79:FV79)</f>
        <v>0</v>
      </c>
      <c r="FU79" s="457">
        <f>SUM(FW79:FY79)</f>
        <v>0</v>
      </c>
      <c r="FV79" s="457">
        <f>SUM(FZ79:GG79)</f>
        <v>0</v>
      </c>
      <c r="FW79" s="457"/>
      <c r="FX79" s="457"/>
      <c r="FY79" s="457"/>
      <c r="FZ79" s="457"/>
      <c r="GA79" s="457"/>
      <c r="GB79" s="457"/>
      <c r="GC79" s="457"/>
      <c r="GD79" s="457"/>
      <c r="GE79" s="457"/>
      <c r="GF79" s="457"/>
      <c r="GG79" s="457"/>
      <c r="GH79" s="457"/>
      <c r="GI79" s="453" t="s">
        <v>250</v>
      </c>
      <c r="GJ79" s="455"/>
      <c r="GK79" s="455"/>
      <c r="GL79" s="455"/>
      <c r="GM79" s="455"/>
      <c r="GN79" s="455"/>
    </row>
    <row r="80" spans="1:196" s="456" customFormat="1" ht="15" customHeight="1" hidden="1">
      <c r="A80" s="452"/>
      <c r="B80" s="453" t="s">
        <v>251</v>
      </c>
      <c r="C80" s="457">
        <f>D80+J80+AY80+CD80</f>
        <v>1108472000</v>
      </c>
      <c r="D80" s="457">
        <f>SUM(E80:I80)</f>
        <v>0</v>
      </c>
      <c r="E80" s="457"/>
      <c r="F80" s="457"/>
      <c r="G80" s="457"/>
      <c r="H80" s="457"/>
      <c r="I80" s="457"/>
      <c r="J80" s="457">
        <f>SUM(K80:AX80)</f>
        <v>1108472000</v>
      </c>
      <c r="K80" s="457"/>
      <c r="L80" s="457"/>
      <c r="M80" s="457"/>
      <c r="N80" s="457"/>
      <c r="O80" s="457"/>
      <c r="P80" s="457"/>
      <c r="Q80" s="457"/>
      <c r="R80" s="457"/>
      <c r="S80" s="457">
        <f>35000000-24528000</f>
        <v>10472000</v>
      </c>
      <c r="T80" s="457">
        <v>1098000000</v>
      </c>
      <c r="U80" s="457"/>
      <c r="V80" s="457"/>
      <c r="W80" s="457"/>
      <c r="X80" s="457"/>
      <c r="Y80" s="457"/>
      <c r="Z80" s="457"/>
      <c r="AA80" s="457"/>
      <c r="AB80" s="457"/>
      <c r="AC80" s="457"/>
      <c r="AD80" s="457"/>
      <c r="AE80" s="457"/>
      <c r="AF80" s="457"/>
      <c r="AG80" s="457"/>
      <c r="AH80" s="457"/>
      <c r="AI80" s="457"/>
      <c r="AJ80" s="457"/>
      <c r="AK80" s="457"/>
      <c r="AL80" s="457"/>
      <c r="AM80" s="457"/>
      <c r="AN80" s="457"/>
      <c r="AO80" s="457"/>
      <c r="AP80" s="457"/>
      <c r="AQ80" s="457"/>
      <c r="AR80" s="457"/>
      <c r="AS80" s="457"/>
      <c r="AT80" s="457"/>
      <c r="AU80" s="457"/>
      <c r="AV80" s="457"/>
      <c r="AW80" s="457"/>
      <c r="AX80" s="457"/>
      <c r="AY80" s="457">
        <f>SUM(AZ80:BA80)</f>
        <v>0</v>
      </c>
      <c r="AZ80" s="457">
        <f>SUM(BB80:BI80)+SUM(BQ80:BX80)</f>
        <v>0</v>
      </c>
      <c r="BA80" s="457">
        <f>SUM(BJ80:BP80)+SUM(BY80:CC80)</f>
        <v>0</v>
      </c>
      <c r="BB80" s="457"/>
      <c r="BC80" s="457"/>
      <c r="BD80" s="457"/>
      <c r="BE80" s="457"/>
      <c r="BF80" s="457"/>
      <c r="BG80" s="457"/>
      <c r="BH80" s="457"/>
      <c r="BI80" s="457"/>
      <c r="BJ80" s="457"/>
      <c r="BK80" s="457"/>
      <c r="BL80" s="457"/>
      <c r="BM80" s="457"/>
      <c r="BN80" s="457"/>
      <c r="BO80" s="457"/>
      <c r="BP80" s="457"/>
      <c r="BQ80" s="457"/>
      <c r="BR80" s="457"/>
      <c r="BS80" s="457"/>
      <c r="BT80" s="457"/>
      <c r="BU80" s="457"/>
      <c r="BV80" s="457"/>
      <c r="BW80" s="457"/>
      <c r="BX80" s="457"/>
      <c r="BY80" s="457"/>
      <c r="BZ80" s="457"/>
      <c r="CA80" s="457"/>
      <c r="CB80" s="457"/>
      <c r="CC80" s="457"/>
      <c r="CD80" s="457">
        <f>SUM(CE80:CF80)</f>
        <v>0</v>
      </c>
      <c r="CE80" s="457">
        <f>SUM(CG80:CI80)</f>
        <v>0</v>
      </c>
      <c r="CF80" s="457">
        <f>SUM(CJ80:CQ80)</f>
        <v>0</v>
      </c>
      <c r="CG80" s="457"/>
      <c r="CH80" s="457"/>
      <c r="CI80" s="457"/>
      <c r="CJ80" s="457"/>
      <c r="CK80" s="457"/>
      <c r="CL80" s="457"/>
      <c r="CM80" s="457"/>
      <c r="CN80" s="457"/>
      <c r="CO80" s="457"/>
      <c r="CP80" s="457"/>
      <c r="CQ80" s="457"/>
      <c r="CR80" s="453" t="s">
        <v>251</v>
      </c>
      <c r="CS80" s="457">
        <f>CT80+CZ80+EO80+FT80+GH80</f>
        <v>1108472000</v>
      </c>
      <c r="CT80" s="457">
        <f>SUM(CU80:CY80)</f>
        <v>0</v>
      </c>
      <c r="CU80" s="457"/>
      <c r="CV80" s="457"/>
      <c r="CW80" s="457"/>
      <c r="CX80" s="457"/>
      <c r="CY80" s="457"/>
      <c r="CZ80" s="457">
        <f>SUM(DA80:EN80)</f>
        <v>1108472000</v>
      </c>
      <c r="DA80" s="457"/>
      <c r="DB80" s="457"/>
      <c r="DC80" s="457"/>
      <c r="DD80" s="457"/>
      <c r="DE80" s="457"/>
      <c r="DF80" s="457"/>
      <c r="DG80" s="457"/>
      <c r="DH80" s="457"/>
      <c r="DI80" s="457">
        <v>10472000</v>
      </c>
      <c r="DJ80" s="457">
        <v>1098000000</v>
      </c>
      <c r="DK80" s="457"/>
      <c r="DL80" s="457"/>
      <c r="DM80" s="457"/>
      <c r="DN80" s="457"/>
      <c r="DO80" s="457"/>
      <c r="DP80" s="457"/>
      <c r="DQ80" s="457"/>
      <c r="DR80" s="457"/>
      <c r="DS80" s="457"/>
      <c r="DT80" s="457"/>
      <c r="DU80" s="457"/>
      <c r="DV80" s="457"/>
      <c r="DW80" s="457"/>
      <c r="DX80" s="457"/>
      <c r="DY80" s="457"/>
      <c r="DZ80" s="457"/>
      <c r="EA80" s="457"/>
      <c r="EB80" s="457"/>
      <c r="EC80" s="457"/>
      <c r="ED80" s="457"/>
      <c r="EE80" s="457"/>
      <c r="EF80" s="457"/>
      <c r="EG80" s="457"/>
      <c r="EH80" s="457"/>
      <c r="EI80" s="457"/>
      <c r="EJ80" s="457"/>
      <c r="EK80" s="457"/>
      <c r="EL80" s="457"/>
      <c r="EM80" s="457"/>
      <c r="EN80" s="457"/>
      <c r="EO80" s="457">
        <f>SUM(EP80:EQ80)</f>
        <v>0</v>
      </c>
      <c r="EP80" s="457">
        <f>SUM(ER80:EY80)+SUM(FG80:FN80)</f>
        <v>0</v>
      </c>
      <c r="EQ80" s="457">
        <f>SUM(EZ80:FF80)+SUM(FO80:FS80)</f>
        <v>0</v>
      </c>
      <c r="ER80" s="457"/>
      <c r="ES80" s="457"/>
      <c r="ET80" s="457"/>
      <c r="EU80" s="457"/>
      <c r="EV80" s="457"/>
      <c r="EW80" s="457"/>
      <c r="EX80" s="457"/>
      <c r="EY80" s="457"/>
      <c r="EZ80" s="457"/>
      <c r="FA80" s="457"/>
      <c r="FB80" s="457"/>
      <c r="FC80" s="457"/>
      <c r="FD80" s="457"/>
      <c r="FE80" s="457"/>
      <c r="FF80" s="457"/>
      <c r="FG80" s="457"/>
      <c r="FH80" s="457"/>
      <c r="FI80" s="457"/>
      <c r="FJ80" s="457"/>
      <c r="FK80" s="457"/>
      <c r="FL80" s="457"/>
      <c r="FM80" s="457"/>
      <c r="FN80" s="457"/>
      <c r="FO80" s="457"/>
      <c r="FP80" s="457"/>
      <c r="FQ80" s="457"/>
      <c r="FR80" s="457"/>
      <c r="FS80" s="457"/>
      <c r="FT80" s="457">
        <f>SUM(FU80:FV80)</f>
        <v>0</v>
      </c>
      <c r="FU80" s="457">
        <f>SUM(FW80:FY80)</f>
        <v>0</v>
      </c>
      <c r="FV80" s="457">
        <f>SUM(FZ80:GG80)</f>
        <v>0</v>
      </c>
      <c r="FW80" s="457"/>
      <c r="FX80" s="457"/>
      <c r="FY80" s="457"/>
      <c r="FZ80" s="457"/>
      <c r="GA80" s="457"/>
      <c r="GB80" s="457"/>
      <c r="GC80" s="457"/>
      <c r="GD80" s="457"/>
      <c r="GE80" s="457"/>
      <c r="GF80" s="457"/>
      <c r="GG80" s="457"/>
      <c r="GH80" s="457"/>
      <c r="GI80" s="453" t="s">
        <v>251</v>
      </c>
      <c r="GJ80" s="455">
        <f>CS80/C80</f>
        <v>1</v>
      </c>
      <c r="GK80" s="455"/>
      <c r="GL80" s="455">
        <f>CZ80/J80</f>
        <v>1</v>
      </c>
      <c r="GM80" s="455"/>
      <c r="GN80" s="455"/>
    </row>
    <row r="81" spans="1:196" s="456" customFormat="1" ht="15" customHeight="1">
      <c r="A81" s="452">
        <v>23</v>
      </c>
      <c r="B81" s="453" t="s">
        <v>270</v>
      </c>
      <c r="C81" s="457">
        <f aca="true" t="shared" si="132" ref="C81:H81">C82+C83</f>
        <v>3108780000</v>
      </c>
      <c r="D81" s="457">
        <f t="shared" si="132"/>
        <v>0</v>
      </c>
      <c r="E81" s="457">
        <f t="shared" si="132"/>
        <v>0</v>
      </c>
      <c r="F81" s="457">
        <f t="shared" si="132"/>
        <v>0</v>
      </c>
      <c r="G81" s="457">
        <f t="shared" si="132"/>
        <v>0</v>
      </c>
      <c r="H81" s="457">
        <f t="shared" si="132"/>
        <v>0</v>
      </c>
      <c r="I81" s="457">
        <f aca="true" t="shared" si="133" ref="I81:BY81">I82+I83</f>
        <v>0</v>
      </c>
      <c r="J81" s="457">
        <f>J82+J83</f>
        <v>2593780000</v>
      </c>
      <c r="K81" s="457">
        <f t="shared" si="133"/>
        <v>0</v>
      </c>
      <c r="L81" s="457">
        <f>L82+L83</f>
        <v>2393780000</v>
      </c>
      <c r="M81" s="457">
        <f t="shared" si="133"/>
        <v>0</v>
      </c>
      <c r="N81" s="457">
        <f t="shared" si="133"/>
        <v>0</v>
      </c>
      <c r="O81" s="457">
        <f t="shared" si="133"/>
        <v>0</v>
      </c>
      <c r="P81" s="457">
        <f t="shared" si="133"/>
        <v>0</v>
      </c>
      <c r="Q81" s="457">
        <f t="shared" si="133"/>
        <v>0</v>
      </c>
      <c r="R81" s="457">
        <f t="shared" si="133"/>
        <v>0</v>
      </c>
      <c r="S81" s="457">
        <f>S82+S83</f>
        <v>0</v>
      </c>
      <c r="T81" s="457">
        <f t="shared" si="133"/>
        <v>0</v>
      </c>
      <c r="U81" s="457">
        <f t="shared" si="133"/>
        <v>0</v>
      </c>
      <c r="V81" s="457">
        <f>V82+V83</f>
        <v>0</v>
      </c>
      <c r="W81" s="457">
        <f>W82+W83</f>
        <v>0</v>
      </c>
      <c r="X81" s="457">
        <f t="shared" si="133"/>
        <v>0</v>
      </c>
      <c r="Y81" s="457">
        <f t="shared" si="133"/>
        <v>0</v>
      </c>
      <c r="Z81" s="457">
        <f t="shared" si="133"/>
        <v>0</v>
      </c>
      <c r="AA81" s="457">
        <f t="shared" si="133"/>
        <v>0</v>
      </c>
      <c r="AB81" s="457">
        <f t="shared" si="133"/>
        <v>0</v>
      </c>
      <c r="AC81" s="457">
        <f t="shared" si="133"/>
        <v>0</v>
      </c>
      <c r="AD81" s="457">
        <f t="shared" si="133"/>
        <v>0</v>
      </c>
      <c r="AE81" s="457">
        <f t="shared" si="133"/>
        <v>0</v>
      </c>
      <c r="AF81" s="457">
        <f t="shared" si="133"/>
        <v>0</v>
      </c>
      <c r="AG81" s="457">
        <f>AG82+AG83</f>
        <v>0</v>
      </c>
      <c r="AH81" s="457">
        <f t="shared" si="133"/>
        <v>0</v>
      </c>
      <c r="AI81" s="457">
        <f t="shared" si="133"/>
        <v>0</v>
      </c>
      <c r="AJ81" s="457">
        <f t="shared" si="133"/>
        <v>0</v>
      </c>
      <c r="AK81" s="457">
        <f t="shared" si="133"/>
        <v>0</v>
      </c>
      <c r="AL81" s="457">
        <f t="shared" si="133"/>
        <v>0</v>
      </c>
      <c r="AM81" s="457">
        <f t="shared" si="133"/>
        <v>0</v>
      </c>
      <c r="AN81" s="457">
        <f t="shared" si="133"/>
        <v>0</v>
      </c>
      <c r="AO81" s="457">
        <f t="shared" si="133"/>
        <v>0</v>
      </c>
      <c r="AP81" s="457">
        <f t="shared" si="133"/>
        <v>0</v>
      </c>
      <c r="AQ81" s="457">
        <f>AQ82+AQ83</f>
        <v>0</v>
      </c>
      <c r="AR81" s="457">
        <f>AR82+AR83</f>
        <v>0</v>
      </c>
      <c r="AS81" s="457">
        <f t="shared" si="133"/>
        <v>0</v>
      </c>
      <c r="AT81" s="457">
        <f t="shared" si="133"/>
        <v>0</v>
      </c>
      <c r="AU81" s="457">
        <f t="shared" si="133"/>
        <v>200000000</v>
      </c>
      <c r="AV81" s="457">
        <f>AV82+AV83</f>
        <v>0</v>
      </c>
      <c r="AW81" s="457">
        <f t="shared" si="133"/>
        <v>0</v>
      </c>
      <c r="AX81" s="457">
        <f t="shared" si="133"/>
        <v>0</v>
      </c>
      <c r="AY81" s="457">
        <f>AY82+AY83</f>
        <v>0</v>
      </c>
      <c r="AZ81" s="457">
        <f>AZ82+AZ83</f>
        <v>0</v>
      </c>
      <c r="BA81" s="457">
        <f>BA82+BA83</f>
        <v>0</v>
      </c>
      <c r="BB81" s="457">
        <f t="shared" si="133"/>
        <v>0</v>
      </c>
      <c r="BC81" s="457">
        <f t="shared" si="133"/>
        <v>0</v>
      </c>
      <c r="BD81" s="457">
        <f t="shared" si="133"/>
        <v>0</v>
      </c>
      <c r="BE81" s="457">
        <f t="shared" si="133"/>
        <v>0</v>
      </c>
      <c r="BF81" s="457">
        <f t="shared" si="133"/>
        <v>0</v>
      </c>
      <c r="BG81" s="457">
        <f t="shared" si="133"/>
        <v>0</v>
      </c>
      <c r="BH81" s="457">
        <f t="shared" si="133"/>
        <v>0</v>
      </c>
      <c r="BI81" s="457">
        <f>BI82+BI83</f>
        <v>0</v>
      </c>
      <c r="BJ81" s="457">
        <f t="shared" si="133"/>
        <v>0</v>
      </c>
      <c r="BK81" s="457">
        <f t="shared" si="133"/>
        <v>0</v>
      </c>
      <c r="BL81" s="457">
        <f t="shared" si="133"/>
        <v>0</v>
      </c>
      <c r="BM81" s="457">
        <f t="shared" si="133"/>
        <v>0</v>
      </c>
      <c r="BN81" s="457">
        <f>BN82+BN83</f>
        <v>0</v>
      </c>
      <c r="BO81" s="457">
        <f t="shared" si="133"/>
        <v>0</v>
      </c>
      <c r="BP81" s="457">
        <f t="shared" si="133"/>
        <v>0</v>
      </c>
      <c r="BQ81" s="457">
        <f t="shared" si="133"/>
        <v>0</v>
      </c>
      <c r="BR81" s="457">
        <f t="shared" si="133"/>
        <v>0</v>
      </c>
      <c r="BS81" s="457">
        <f t="shared" si="133"/>
        <v>0</v>
      </c>
      <c r="BT81" s="457">
        <f t="shared" si="133"/>
        <v>0</v>
      </c>
      <c r="BU81" s="457">
        <f t="shared" si="133"/>
        <v>0</v>
      </c>
      <c r="BV81" s="457">
        <f t="shared" si="133"/>
        <v>0</v>
      </c>
      <c r="BW81" s="457">
        <f t="shared" si="133"/>
        <v>0</v>
      </c>
      <c r="BX81" s="457">
        <f t="shared" si="133"/>
        <v>0</v>
      </c>
      <c r="BY81" s="457">
        <f t="shared" si="133"/>
        <v>0</v>
      </c>
      <c r="BZ81" s="457">
        <f aca="true" t="shared" si="134" ref="BZ81:CP81">BZ82+BZ83</f>
        <v>0</v>
      </c>
      <c r="CA81" s="457">
        <f>CA82+CA83</f>
        <v>0</v>
      </c>
      <c r="CB81" s="457">
        <f t="shared" si="134"/>
        <v>0</v>
      </c>
      <c r="CC81" s="457">
        <f t="shared" si="134"/>
        <v>0</v>
      </c>
      <c r="CD81" s="457">
        <f t="shared" si="134"/>
        <v>515000000</v>
      </c>
      <c r="CE81" s="457">
        <f>CE82+CE83</f>
        <v>0</v>
      </c>
      <c r="CF81" s="457">
        <f>CF82+CF83</f>
        <v>515000000</v>
      </c>
      <c r="CG81" s="457">
        <f t="shared" si="134"/>
        <v>0</v>
      </c>
      <c r="CH81" s="457">
        <f>CH82+CH83</f>
        <v>0</v>
      </c>
      <c r="CI81" s="457">
        <f>CI82+CI83</f>
        <v>0</v>
      </c>
      <c r="CJ81" s="457">
        <f t="shared" si="134"/>
        <v>0</v>
      </c>
      <c r="CK81" s="457">
        <f t="shared" si="134"/>
        <v>0</v>
      </c>
      <c r="CL81" s="457">
        <f t="shared" si="134"/>
        <v>0</v>
      </c>
      <c r="CM81" s="457">
        <f t="shared" si="134"/>
        <v>0</v>
      </c>
      <c r="CN81" s="457">
        <f t="shared" si="134"/>
        <v>0</v>
      </c>
      <c r="CO81" s="457">
        <f t="shared" si="134"/>
        <v>0</v>
      </c>
      <c r="CP81" s="457">
        <f t="shared" si="134"/>
        <v>445000000</v>
      </c>
      <c r="CQ81" s="457">
        <f>CQ82+CQ83</f>
        <v>70000000</v>
      </c>
      <c r="CR81" s="453" t="s">
        <v>270</v>
      </c>
      <c r="CS81" s="457">
        <f aca="true" t="shared" si="135" ref="CS81:FI81">CS82+CS83</f>
        <v>3108780000</v>
      </c>
      <c r="CT81" s="457">
        <f t="shared" si="135"/>
        <v>0</v>
      </c>
      <c r="CU81" s="457">
        <f t="shared" si="135"/>
        <v>0</v>
      </c>
      <c r="CV81" s="457">
        <f>CV82+CV83</f>
        <v>0</v>
      </c>
      <c r="CW81" s="457">
        <f>CW82+CW83</f>
        <v>0</v>
      </c>
      <c r="CX81" s="457">
        <f>CX82+CX83</f>
        <v>0</v>
      </c>
      <c r="CY81" s="457">
        <f t="shared" si="135"/>
        <v>0</v>
      </c>
      <c r="CZ81" s="457">
        <f t="shared" si="135"/>
        <v>2593780000</v>
      </c>
      <c r="DA81" s="457">
        <f t="shared" si="135"/>
        <v>0</v>
      </c>
      <c r="DB81" s="457">
        <f>DB82+DB83</f>
        <v>2393780000</v>
      </c>
      <c r="DC81" s="457">
        <f t="shared" si="135"/>
        <v>0</v>
      </c>
      <c r="DD81" s="457">
        <f t="shared" si="135"/>
        <v>0</v>
      </c>
      <c r="DE81" s="457">
        <f t="shared" si="135"/>
        <v>0</v>
      </c>
      <c r="DF81" s="457">
        <f t="shared" si="135"/>
        <v>0</v>
      </c>
      <c r="DG81" s="457">
        <f t="shared" si="135"/>
        <v>0</v>
      </c>
      <c r="DH81" s="457">
        <f t="shared" si="135"/>
        <v>0</v>
      </c>
      <c r="DI81" s="457">
        <f>DI82+DI83</f>
        <v>0</v>
      </c>
      <c r="DJ81" s="457">
        <f t="shared" si="135"/>
        <v>0</v>
      </c>
      <c r="DK81" s="457">
        <f t="shared" si="135"/>
        <v>0</v>
      </c>
      <c r="DL81" s="457">
        <f>DL82+DL83</f>
        <v>0</v>
      </c>
      <c r="DM81" s="457">
        <f>DM82+DM83</f>
        <v>0</v>
      </c>
      <c r="DN81" s="457">
        <f t="shared" si="135"/>
        <v>0</v>
      </c>
      <c r="DO81" s="457">
        <f t="shared" si="135"/>
        <v>0</v>
      </c>
      <c r="DP81" s="457">
        <f t="shared" si="135"/>
        <v>0</v>
      </c>
      <c r="DQ81" s="457">
        <f t="shared" si="135"/>
        <v>0</v>
      </c>
      <c r="DR81" s="457">
        <f t="shared" si="135"/>
        <v>0</v>
      </c>
      <c r="DS81" s="457">
        <f t="shared" si="135"/>
        <v>0</v>
      </c>
      <c r="DT81" s="457">
        <f t="shared" si="135"/>
        <v>0</v>
      </c>
      <c r="DU81" s="457">
        <f t="shared" si="135"/>
        <v>0</v>
      </c>
      <c r="DV81" s="457">
        <f t="shared" si="135"/>
        <v>0</v>
      </c>
      <c r="DW81" s="457">
        <f>DW82+DW83</f>
        <v>0</v>
      </c>
      <c r="DX81" s="457">
        <f t="shared" si="135"/>
        <v>0</v>
      </c>
      <c r="DY81" s="457">
        <f t="shared" si="135"/>
        <v>0</v>
      </c>
      <c r="DZ81" s="457">
        <f t="shared" si="135"/>
        <v>0</v>
      </c>
      <c r="EA81" s="457">
        <f t="shared" si="135"/>
        <v>0</v>
      </c>
      <c r="EB81" s="457">
        <f t="shared" si="135"/>
        <v>0</v>
      </c>
      <c r="EC81" s="457">
        <f t="shared" si="135"/>
        <v>0</v>
      </c>
      <c r="ED81" s="457">
        <f t="shared" si="135"/>
        <v>0</v>
      </c>
      <c r="EE81" s="457">
        <f t="shared" si="135"/>
        <v>0</v>
      </c>
      <c r="EF81" s="457">
        <f t="shared" si="135"/>
        <v>0</v>
      </c>
      <c r="EG81" s="457">
        <f>EG82+EG83</f>
        <v>0</v>
      </c>
      <c r="EH81" s="457">
        <f>EH82+EH83</f>
        <v>0</v>
      </c>
      <c r="EI81" s="457">
        <f t="shared" si="135"/>
        <v>0</v>
      </c>
      <c r="EJ81" s="457">
        <f t="shared" si="135"/>
        <v>0</v>
      </c>
      <c r="EK81" s="457">
        <f t="shared" si="135"/>
        <v>200000000</v>
      </c>
      <c r="EL81" s="457">
        <f>EL82+EL83</f>
        <v>0</v>
      </c>
      <c r="EM81" s="457">
        <f t="shared" si="135"/>
        <v>0</v>
      </c>
      <c r="EN81" s="457">
        <f t="shared" si="135"/>
        <v>0</v>
      </c>
      <c r="EO81" s="457">
        <f t="shared" si="135"/>
        <v>0</v>
      </c>
      <c r="EP81" s="457">
        <f t="shared" si="135"/>
        <v>0</v>
      </c>
      <c r="EQ81" s="457">
        <f t="shared" si="135"/>
        <v>0</v>
      </c>
      <c r="ER81" s="457">
        <f t="shared" si="135"/>
        <v>0</v>
      </c>
      <c r="ES81" s="457">
        <f t="shared" si="135"/>
        <v>0</v>
      </c>
      <c r="ET81" s="457">
        <f t="shared" si="135"/>
        <v>0</v>
      </c>
      <c r="EU81" s="457">
        <f t="shared" si="135"/>
        <v>0</v>
      </c>
      <c r="EV81" s="457">
        <f t="shared" si="135"/>
        <v>0</v>
      </c>
      <c r="EW81" s="457">
        <f t="shared" si="135"/>
        <v>0</v>
      </c>
      <c r="EX81" s="457">
        <f t="shared" si="135"/>
        <v>0</v>
      </c>
      <c r="EY81" s="457">
        <f>EY82+EY83</f>
        <v>0</v>
      </c>
      <c r="EZ81" s="457">
        <f t="shared" si="135"/>
        <v>0</v>
      </c>
      <c r="FA81" s="457">
        <f t="shared" si="135"/>
        <v>0</v>
      </c>
      <c r="FB81" s="457">
        <f t="shared" si="135"/>
        <v>0</v>
      </c>
      <c r="FC81" s="457">
        <f t="shared" si="135"/>
        <v>0</v>
      </c>
      <c r="FD81" s="457">
        <f>FD82+FD83</f>
        <v>0</v>
      </c>
      <c r="FE81" s="457">
        <f t="shared" si="135"/>
        <v>0</v>
      </c>
      <c r="FF81" s="457">
        <f t="shared" si="135"/>
        <v>0</v>
      </c>
      <c r="FG81" s="457">
        <f t="shared" si="135"/>
        <v>0</v>
      </c>
      <c r="FH81" s="457">
        <f t="shared" si="135"/>
        <v>0</v>
      </c>
      <c r="FI81" s="457">
        <f t="shared" si="135"/>
        <v>0</v>
      </c>
      <c r="FJ81" s="457">
        <f aca="true" t="shared" si="136" ref="FJ81:GF81">FJ82+FJ83</f>
        <v>0</v>
      </c>
      <c r="FK81" s="457">
        <f t="shared" si="136"/>
        <v>0</v>
      </c>
      <c r="FL81" s="457">
        <f t="shared" si="136"/>
        <v>0</v>
      </c>
      <c r="FM81" s="457">
        <f t="shared" si="136"/>
        <v>0</v>
      </c>
      <c r="FN81" s="457">
        <f t="shared" si="136"/>
        <v>0</v>
      </c>
      <c r="FO81" s="457">
        <f t="shared" si="136"/>
        <v>0</v>
      </c>
      <c r="FP81" s="457">
        <f t="shared" si="136"/>
        <v>0</v>
      </c>
      <c r="FQ81" s="457">
        <f>FQ82+FQ83</f>
        <v>0</v>
      </c>
      <c r="FR81" s="457">
        <f t="shared" si="136"/>
        <v>0</v>
      </c>
      <c r="FS81" s="457">
        <f t="shared" si="136"/>
        <v>0</v>
      </c>
      <c r="FT81" s="457">
        <f t="shared" si="136"/>
        <v>515000000</v>
      </c>
      <c r="FU81" s="457">
        <f t="shared" si="136"/>
        <v>0</v>
      </c>
      <c r="FV81" s="457">
        <f t="shared" si="136"/>
        <v>515000000</v>
      </c>
      <c r="FW81" s="457">
        <f t="shared" si="136"/>
        <v>0</v>
      </c>
      <c r="FX81" s="457">
        <f>FX82+FX83</f>
        <v>0</v>
      </c>
      <c r="FY81" s="457"/>
      <c r="FZ81" s="457">
        <f t="shared" si="136"/>
        <v>0</v>
      </c>
      <c r="GA81" s="457">
        <f t="shared" si="136"/>
        <v>0</v>
      </c>
      <c r="GB81" s="457">
        <f t="shared" si="136"/>
        <v>0</v>
      </c>
      <c r="GC81" s="457">
        <f t="shared" si="136"/>
        <v>0</v>
      </c>
      <c r="GD81" s="457">
        <f t="shared" si="136"/>
        <v>0</v>
      </c>
      <c r="GE81" s="457">
        <f t="shared" si="136"/>
        <v>0</v>
      </c>
      <c r="GF81" s="457">
        <f t="shared" si="136"/>
        <v>445000000</v>
      </c>
      <c r="GG81" s="457">
        <f>GG82+GG83</f>
        <v>70000000</v>
      </c>
      <c r="GH81" s="457">
        <f>GH82+GH83</f>
        <v>0</v>
      </c>
      <c r="GI81" s="453" t="s">
        <v>270</v>
      </c>
      <c r="GJ81" s="455">
        <f>CS81/C81</f>
        <v>1</v>
      </c>
      <c r="GK81" s="455"/>
      <c r="GL81" s="455">
        <f>CZ81/J81</f>
        <v>1</v>
      </c>
      <c r="GM81" s="455"/>
      <c r="GN81" s="455">
        <f>FT81/CD81</f>
        <v>1</v>
      </c>
    </row>
    <row r="82" spans="1:196" s="456" customFormat="1" ht="15" customHeight="1" hidden="1">
      <c r="A82" s="452"/>
      <c r="B82" s="453" t="s">
        <v>250</v>
      </c>
      <c r="C82" s="457">
        <f>D82+J82+AY82+CD82</f>
        <v>0</v>
      </c>
      <c r="D82" s="457">
        <f>SUM(E82:I82)</f>
        <v>0</v>
      </c>
      <c r="E82" s="457"/>
      <c r="F82" s="457"/>
      <c r="G82" s="457"/>
      <c r="H82" s="457"/>
      <c r="I82" s="457"/>
      <c r="J82" s="457">
        <f>SUM(K82:AX82)</f>
        <v>0</v>
      </c>
      <c r="K82" s="457"/>
      <c r="L82" s="457"/>
      <c r="M82" s="457"/>
      <c r="N82" s="457"/>
      <c r="O82" s="457"/>
      <c r="P82" s="457"/>
      <c r="Q82" s="457"/>
      <c r="R82" s="457"/>
      <c r="S82" s="457"/>
      <c r="T82" s="457"/>
      <c r="U82" s="457"/>
      <c r="V82" s="457"/>
      <c r="W82" s="457"/>
      <c r="X82" s="457"/>
      <c r="Y82" s="457"/>
      <c r="Z82" s="457"/>
      <c r="AA82" s="457"/>
      <c r="AB82" s="457"/>
      <c r="AC82" s="457"/>
      <c r="AD82" s="457"/>
      <c r="AE82" s="457"/>
      <c r="AF82" s="457"/>
      <c r="AG82" s="457"/>
      <c r="AH82" s="457"/>
      <c r="AI82" s="457"/>
      <c r="AJ82" s="457"/>
      <c r="AK82" s="457"/>
      <c r="AL82" s="457"/>
      <c r="AM82" s="457"/>
      <c r="AN82" s="457"/>
      <c r="AO82" s="457"/>
      <c r="AP82" s="457"/>
      <c r="AQ82" s="457"/>
      <c r="AR82" s="457"/>
      <c r="AS82" s="457"/>
      <c r="AT82" s="457"/>
      <c r="AU82" s="457"/>
      <c r="AV82" s="457"/>
      <c r="AW82" s="457"/>
      <c r="AX82" s="457"/>
      <c r="AY82" s="457">
        <f>SUM(AZ82:BA82)</f>
        <v>0</v>
      </c>
      <c r="AZ82" s="457">
        <f>SUM(BB82:BI82)+SUM(BQ82:BX82)</f>
        <v>0</v>
      </c>
      <c r="BA82" s="457">
        <f>SUM(BJ82:BP82)+SUM(BY82:CC82)</f>
        <v>0</v>
      </c>
      <c r="BB82" s="457"/>
      <c r="BC82" s="457"/>
      <c r="BD82" s="457"/>
      <c r="BE82" s="457"/>
      <c r="BF82" s="457"/>
      <c r="BG82" s="457"/>
      <c r="BH82" s="457"/>
      <c r="BI82" s="457"/>
      <c r="BJ82" s="457"/>
      <c r="BK82" s="457"/>
      <c r="BL82" s="457"/>
      <c r="BM82" s="457"/>
      <c r="BN82" s="457"/>
      <c r="BO82" s="457"/>
      <c r="BP82" s="457"/>
      <c r="BQ82" s="457"/>
      <c r="BR82" s="457"/>
      <c r="BS82" s="457"/>
      <c r="BT82" s="457"/>
      <c r="BU82" s="457"/>
      <c r="BV82" s="457"/>
      <c r="BW82" s="457"/>
      <c r="BX82" s="457"/>
      <c r="BY82" s="457"/>
      <c r="BZ82" s="457"/>
      <c r="CA82" s="457"/>
      <c r="CB82" s="457"/>
      <c r="CC82" s="457"/>
      <c r="CD82" s="457">
        <f>SUM(CE82:CF82)</f>
        <v>0</v>
      </c>
      <c r="CE82" s="457">
        <f>SUM(CG82:CI82)</f>
        <v>0</v>
      </c>
      <c r="CF82" s="457">
        <f>SUM(CJ82:CQ82)</f>
        <v>0</v>
      </c>
      <c r="CG82" s="457"/>
      <c r="CH82" s="457"/>
      <c r="CI82" s="457"/>
      <c r="CJ82" s="457"/>
      <c r="CK82" s="457"/>
      <c r="CL82" s="457"/>
      <c r="CM82" s="457"/>
      <c r="CN82" s="457"/>
      <c r="CO82" s="457"/>
      <c r="CP82" s="457"/>
      <c r="CQ82" s="457"/>
      <c r="CR82" s="453" t="s">
        <v>250</v>
      </c>
      <c r="CS82" s="457">
        <f>CT82+CZ82+EO82+FT82+GH82</f>
        <v>0</v>
      </c>
      <c r="CT82" s="457">
        <f>SUM(CU82:CY82)</f>
        <v>0</v>
      </c>
      <c r="CU82" s="457"/>
      <c r="CV82" s="457"/>
      <c r="CW82" s="457"/>
      <c r="CX82" s="457"/>
      <c r="CY82" s="457"/>
      <c r="CZ82" s="457">
        <f>SUM(DA82:EN82)</f>
        <v>0</v>
      </c>
      <c r="DA82" s="457"/>
      <c r="DB82" s="457"/>
      <c r="DC82" s="457"/>
      <c r="DD82" s="457"/>
      <c r="DE82" s="457"/>
      <c r="DF82" s="457"/>
      <c r="DG82" s="457"/>
      <c r="DH82" s="457"/>
      <c r="DI82" s="457"/>
      <c r="DJ82" s="457"/>
      <c r="DK82" s="457"/>
      <c r="DL82" s="457"/>
      <c r="DM82" s="457"/>
      <c r="DN82" s="457"/>
      <c r="DO82" s="457"/>
      <c r="DP82" s="457"/>
      <c r="DQ82" s="457"/>
      <c r="DR82" s="457"/>
      <c r="DS82" s="457"/>
      <c r="DT82" s="457"/>
      <c r="DU82" s="457"/>
      <c r="DV82" s="457"/>
      <c r="DW82" s="457"/>
      <c r="DX82" s="457"/>
      <c r="DY82" s="457"/>
      <c r="DZ82" s="457"/>
      <c r="EA82" s="457"/>
      <c r="EB82" s="457"/>
      <c r="EC82" s="457"/>
      <c r="ED82" s="457"/>
      <c r="EE82" s="457"/>
      <c r="EF82" s="457"/>
      <c r="EG82" s="457"/>
      <c r="EH82" s="457"/>
      <c r="EI82" s="457"/>
      <c r="EJ82" s="457"/>
      <c r="EK82" s="457"/>
      <c r="EL82" s="457"/>
      <c r="EM82" s="457"/>
      <c r="EN82" s="457"/>
      <c r="EO82" s="457">
        <f>SUM(EP82:EQ82)</f>
        <v>0</v>
      </c>
      <c r="EP82" s="457">
        <f>SUM(ER82:EY82)+SUM(FG82:FN82)</f>
        <v>0</v>
      </c>
      <c r="EQ82" s="457">
        <f>SUM(EZ82:FF82)+SUM(FO82:FS82)</f>
        <v>0</v>
      </c>
      <c r="ER82" s="457"/>
      <c r="ES82" s="457"/>
      <c r="ET82" s="457"/>
      <c r="EU82" s="457"/>
      <c r="EV82" s="457"/>
      <c r="EW82" s="457"/>
      <c r="EX82" s="457"/>
      <c r="EY82" s="457"/>
      <c r="EZ82" s="457"/>
      <c r="FA82" s="457"/>
      <c r="FB82" s="457"/>
      <c r="FC82" s="457"/>
      <c r="FD82" s="457"/>
      <c r="FE82" s="457"/>
      <c r="FF82" s="457"/>
      <c r="FG82" s="457"/>
      <c r="FH82" s="457"/>
      <c r="FI82" s="457"/>
      <c r="FJ82" s="457"/>
      <c r="FK82" s="457"/>
      <c r="FL82" s="457"/>
      <c r="FM82" s="457"/>
      <c r="FN82" s="457"/>
      <c r="FO82" s="457"/>
      <c r="FP82" s="457"/>
      <c r="FQ82" s="457"/>
      <c r="FR82" s="457"/>
      <c r="FS82" s="457"/>
      <c r="FT82" s="457">
        <f>SUM(FU82:FV82)</f>
        <v>0</v>
      </c>
      <c r="FU82" s="457">
        <f>SUM(FW82:FY82)</f>
        <v>0</v>
      </c>
      <c r="FV82" s="457">
        <f>SUM(FZ82:GG82)</f>
        <v>0</v>
      </c>
      <c r="FW82" s="457"/>
      <c r="FX82" s="457"/>
      <c r="FY82" s="457"/>
      <c r="FZ82" s="457"/>
      <c r="GA82" s="457"/>
      <c r="GB82" s="457"/>
      <c r="GC82" s="457"/>
      <c r="GD82" s="457"/>
      <c r="GE82" s="457"/>
      <c r="GF82" s="457"/>
      <c r="GG82" s="457"/>
      <c r="GH82" s="457"/>
      <c r="GI82" s="453" t="s">
        <v>250</v>
      </c>
      <c r="GJ82" s="455"/>
      <c r="GK82" s="455"/>
      <c r="GL82" s="455"/>
      <c r="GM82" s="455"/>
      <c r="GN82" s="455"/>
    </row>
    <row r="83" spans="1:196" s="456" customFormat="1" ht="13.5" customHeight="1" hidden="1">
      <c r="A83" s="452"/>
      <c r="B83" s="453" t="s">
        <v>251</v>
      </c>
      <c r="C83" s="457">
        <f>D83+J83+AY83+CD83</f>
        <v>3108780000</v>
      </c>
      <c r="D83" s="457">
        <f>SUM(E83:I83)</f>
        <v>0</v>
      </c>
      <c r="E83" s="457"/>
      <c r="F83" s="457"/>
      <c r="G83" s="457"/>
      <c r="H83" s="457"/>
      <c r="I83" s="457"/>
      <c r="J83" s="457">
        <f>SUM(K83:AX83)</f>
        <v>2593780000</v>
      </c>
      <c r="K83" s="457"/>
      <c r="L83" s="457">
        <v>2393780000</v>
      </c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457"/>
      <c r="AG83" s="457"/>
      <c r="AH83" s="457"/>
      <c r="AI83" s="457"/>
      <c r="AJ83" s="457"/>
      <c r="AK83" s="457"/>
      <c r="AL83" s="457"/>
      <c r="AM83" s="457"/>
      <c r="AN83" s="457"/>
      <c r="AO83" s="457"/>
      <c r="AP83" s="457"/>
      <c r="AQ83" s="457"/>
      <c r="AR83" s="457"/>
      <c r="AS83" s="457"/>
      <c r="AT83" s="457"/>
      <c r="AU83" s="457">
        <v>200000000</v>
      </c>
      <c r="AV83" s="457"/>
      <c r="AW83" s="457"/>
      <c r="AX83" s="457"/>
      <c r="AY83" s="457">
        <f>SUM(AZ83:BA83)</f>
        <v>0</v>
      </c>
      <c r="AZ83" s="457">
        <f>SUM(BB83:BI83)+SUM(BQ83:BX83)</f>
        <v>0</v>
      </c>
      <c r="BA83" s="457">
        <f>SUM(BJ83:BP83)+SUM(BY83:CC83)</f>
        <v>0</v>
      </c>
      <c r="BB83" s="457"/>
      <c r="BC83" s="457"/>
      <c r="BD83" s="457"/>
      <c r="BE83" s="457"/>
      <c r="BF83" s="457"/>
      <c r="BG83" s="457"/>
      <c r="BH83" s="457"/>
      <c r="BI83" s="457"/>
      <c r="BJ83" s="457"/>
      <c r="BK83" s="457"/>
      <c r="BL83" s="457"/>
      <c r="BM83" s="457"/>
      <c r="BN83" s="457"/>
      <c r="BO83" s="457"/>
      <c r="BP83" s="457"/>
      <c r="BQ83" s="457"/>
      <c r="BR83" s="457"/>
      <c r="BS83" s="457"/>
      <c r="BT83" s="457"/>
      <c r="BU83" s="457"/>
      <c r="BV83" s="457"/>
      <c r="BW83" s="457"/>
      <c r="BX83" s="457"/>
      <c r="BY83" s="457"/>
      <c r="BZ83" s="457"/>
      <c r="CA83" s="457"/>
      <c r="CB83" s="457"/>
      <c r="CC83" s="457"/>
      <c r="CD83" s="457">
        <f>SUM(CE83:CF83)</f>
        <v>515000000</v>
      </c>
      <c r="CE83" s="457">
        <f>SUM(CG83:CI83)</f>
        <v>0</v>
      </c>
      <c r="CF83" s="457">
        <f>SUM(CJ83:CQ83)</f>
        <v>515000000</v>
      </c>
      <c r="CG83" s="457"/>
      <c r="CH83" s="457"/>
      <c r="CI83" s="457"/>
      <c r="CJ83" s="457"/>
      <c r="CK83" s="457"/>
      <c r="CL83" s="457"/>
      <c r="CM83" s="457"/>
      <c r="CN83" s="457"/>
      <c r="CO83" s="457"/>
      <c r="CP83" s="457">
        <v>445000000</v>
      </c>
      <c r="CQ83" s="457">
        <v>70000000</v>
      </c>
      <c r="CR83" s="453" t="s">
        <v>251</v>
      </c>
      <c r="CS83" s="457">
        <f>CT83+CZ83+EO83+FT83+GH83</f>
        <v>3108780000</v>
      </c>
      <c r="CT83" s="457">
        <f>SUM(CU83:CY83)</f>
        <v>0</v>
      </c>
      <c r="CU83" s="457"/>
      <c r="CV83" s="457"/>
      <c r="CW83" s="457"/>
      <c r="CX83" s="457"/>
      <c r="CY83" s="457"/>
      <c r="CZ83" s="457">
        <f>SUM(DA83:EN83)</f>
        <v>2593780000</v>
      </c>
      <c r="DA83" s="457"/>
      <c r="DB83" s="457">
        <v>2393780000</v>
      </c>
      <c r="DC83" s="457"/>
      <c r="DD83" s="457"/>
      <c r="DE83" s="457"/>
      <c r="DF83" s="457"/>
      <c r="DG83" s="457"/>
      <c r="DH83" s="457"/>
      <c r="DI83" s="457"/>
      <c r="DJ83" s="457"/>
      <c r="DK83" s="457"/>
      <c r="DL83" s="457"/>
      <c r="DM83" s="457"/>
      <c r="DN83" s="457"/>
      <c r="DO83" s="457"/>
      <c r="DP83" s="457"/>
      <c r="DQ83" s="457"/>
      <c r="DR83" s="457"/>
      <c r="DS83" s="457"/>
      <c r="DT83" s="457"/>
      <c r="DU83" s="457"/>
      <c r="DV83" s="457"/>
      <c r="DW83" s="457"/>
      <c r="DX83" s="457"/>
      <c r="DY83" s="457"/>
      <c r="DZ83" s="457"/>
      <c r="EA83" s="457"/>
      <c r="EB83" s="457"/>
      <c r="EC83" s="457"/>
      <c r="ED83" s="457"/>
      <c r="EE83" s="457"/>
      <c r="EF83" s="457"/>
      <c r="EG83" s="457"/>
      <c r="EH83" s="457"/>
      <c r="EI83" s="457"/>
      <c r="EJ83" s="457"/>
      <c r="EK83" s="457">
        <v>200000000</v>
      </c>
      <c r="EL83" s="457"/>
      <c r="EM83" s="457"/>
      <c r="EN83" s="457"/>
      <c r="EO83" s="457">
        <f>SUM(EP83:EQ83)</f>
        <v>0</v>
      </c>
      <c r="EP83" s="457">
        <f>SUM(ER83:EY83)+SUM(FG83:FN83)</f>
        <v>0</v>
      </c>
      <c r="EQ83" s="457">
        <f>SUM(EZ83:FF83)+SUM(FO83:FS83)</f>
        <v>0</v>
      </c>
      <c r="ER83" s="457"/>
      <c r="ES83" s="457"/>
      <c r="ET83" s="457"/>
      <c r="EU83" s="457"/>
      <c r="EV83" s="457"/>
      <c r="EW83" s="457"/>
      <c r="EX83" s="457"/>
      <c r="EY83" s="457"/>
      <c r="EZ83" s="457"/>
      <c r="FA83" s="457"/>
      <c r="FB83" s="457"/>
      <c r="FC83" s="457"/>
      <c r="FD83" s="457"/>
      <c r="FE83" s="457"/>
      <c r="FF83" s="457"/>
      <c r="FG83" s="457"/>
      <c r="FH83" s="457"/>
      <c r="FI83" s="457"/>
      <c r="FJ83" s="457"/>
      <c r="FK83" s="457"/>
      <c r="FL83" s="457"/>
      <c r="FM83" s="457"/>
      <c r="FN83" s="457"/>
      <c r="FO83" s="457"/>
      <c r="FP83" s="457"/>
      <c r="FQ83" s="457"/>
      <c r="FR83" s="457"/>
      <c r="FS83" s="457"/>
      <c r="FT83" s="457">
        <f>SUM(FU83:FV83)</f>
        <v>515000000</v>
      </c>
      <c r="FU83" s="457">
        <f>SUM(FW83:FY83)</f>
        <v>0</v>
      </c>
      <c r="FV83" s="457">
        <f>SUM(FZ83:GG83)</f>
        <v>515000000</v>
      </c>
      <c r="FW83" s="457"/>
      <c r="FX83" s="457"/>
      <c r="FY83" s="457"/>
      <c r="FZ83" s="457"/>
      <c r="GA83" s="457"/>
      <c r="GB83" s="457"/>
      <c r="GC83" s="457"/>
      <c r="GD83" s="457"/>
      <c r="GE83" s="457"/>
      <c r="GF83" s="457">
        <v>445000000</v>
      </c>
      <c r="GG83" s="457">
        <v>70000000</v>
      </c>
      <c r="GH83" s="457"/>
      <c r="GI83" s="453" t="s">
        <v>251</v>
      </c>
      <c r="GJ83" s="455">
        <f>CS83/C83</f>
        <v>1</v>
      </c>
      <c r="GK83" s="455"/>
      <c r="GL83" s="455">
        <f>CZ83/J83</f>
        <v>1</v>
      </c>
      <c r="GM83" s="455"/>
      <c r="GN83" s="455">
        <f>FT83/CD83</f>
        <v>1</v>
      </c>
    </row>
    <row r="84" spans="1:196" s="456" customFormat="1" ht="13.5" customHeight="1">
      <c r="A84" s="452">
        <v>24</v>
      </c>
      <c r="B84" s="453" t="s">
        <v>564</v>
      </c>
      <c r="C84" s="457">
        <f aca="true" t="shared" si="137" ref="C84:H84">C85+C86</f>
        <v>4565000000</v>
      </c>
      <c r="D84" s="457">
        <f t="shared" si="137"/>
        <v>0</v>
      </c>
      <c r="E84" s="457">
        <f t="shared" si="137"/>
        <v>0</v>
      </c>
      <c r="F84" s="457">
        <f t="shared" si="137"/>
        <v>0</v>
      </c>
      <c r="G84" s="457">
        <f t="shared" si="137"/>
        <v>0</v>
      </c>
      <c r="H84" s="457">
        <f t="shared" si="137"/>
        <v>0</v>
      </c>
      <c r="I84" s="457">
        <f aca="true" t="shared" si="138" ref="I84:BY84">I85+I86</f>
        <v>0</v>
      </c>
      <c r="J84" s="457">
        <f>J85+J86</f>
        <v>4565000000</v>
      </c>
      <c r="K84" s="457">
        <f t="shared" si="138"/>
        <v>4565000000</v>
      </c>
      <c r="L84" s="457">
        <f>L85+L86</f>
        <v>0</v>
      </c>
      <c r="M84" s="457">
        <f t="shared" si="138"/>
        <v>0</v>
      </c>
      <c r="N84" s="457">
        <f t="shared" si="138"/>
        <v>0</v>
      </c>
      <c r="O84" s="457">
        <f t="shared" si="138"/>
        <v>0</v>
      </c>
      <c r="P84" s="457">
        <f t="shared" si="138"/>
        <v>0</v>
      </c>
      <c r="Q84" s="457">
        <f t="shared" si="138"/>
        <v>0</v>
      </c>
      <c r="R84" s="457">
        <f t="shared" si="138"/>
        <v>0</v>
      </c>
      <c r="S84" s="457">
        <f>S85+S86</f>
        <v>0</v>
      </c>
      <c r="T84" s="457">
        <f t="shared" si="138"/>
        <v>0</v>
      </c>
      <c r="U84" s="457">
        <f t="shared" si="138"/>
        <v>0</v>
      </c>
      <c r="V84" s="457">
        <f>V85+V86</f>
        <v>0</v>
      </c>
      <c r="W84" s="457">
        <f>W85+W86</f>
        <v>0</v>
      </c>
      <c r="X84" s="457">
        <f t="shared" si="138"/>
        <v>0</v>
      </c>
      <c r="Y84" s="457">
        <f t="shared" si="138"/>
        <v>0</v>
      </c>
      <c r="Z84" s="457">
        <f t="shared" si="138"/>
        <v>0</v>
      </c>
      <c r="AA84" s="457">
        <f t="shared" si="138"/>
        <v>0</v>
      </c>
      <c r="AB84" s="457">
        <f t="shared" si="138"/>
        <v>0</v>
      </c>
      <c r="AC84" s="457">
        <f t="shared" si="138"/>
        <v>0</v>
      </c>
      <c r="AD84" s="457">
        <f t="shared" si="138"/>
        <v>0</v>
      </c>
      <c r="AE84" s="457">
        <f t="shared" si="138"/>
        <v>0</v>
      </c>
      <c r="AF84" s="457">
        <f t="shared" si="138"/>
        <v>0</v>
      </c>
      <c r="AG84" s="457">
        <f>AG85+AG86</f>
        <v>0</v>
      </c>
      <c r="AH84" s="457">
        <f t="shared" si="138"/>
        <v>0</v>
      </c>
      <c r="AI84" s="457">
        <f t="shared" si="138"/>
        <v>0</v>
      </c>
      <c r="AJ84" s="457">
        <f t="shared" si="138"/>
        <v>0</v>
      </c>
      <c r="AK84" s="457">
        <f t="shared" si="138"/>
        <v>0</v>
      </c>
      <c r="AL84" s="457">
        <f t="shared" si="138"/>
        <v>0</v>
      </c>
      <c r="AM84" s="457">
        <f t="shared" si="138"/>
        <v>0</v>
      </c>
      <c r="AN84" s="457">
        <f t="shared" si="138"/>
        <v>0</v>
      </c>
      <c r="AO84" s="457">
        <f t="shared" si="138"/>
        <v>0</v>
      </c>
      <c r="AP84" s="457">
        <f t="shared" si="138"/>
        <v>0</v>
      </c>
      <c r="AQ84" s="457">
        <f>AQ85+AQ86</f>
        <v>0</v>
      </c>
      <c r="AR84" s="457">
        <f>AR85+AR86</f>
        <v>0</v>
      </c>
      <c r="AS84" s="457">
        <f t="shared" si="138"/>
        <v>0</v>
      </c>
      <c r="AT84" s="457">
        <f t="shared" si="138"/>
        <v>0</v>
      </c>
      <c r="AU84" s="457">
        <f t="shared" si="138"/>
        <v>0</v>
      </c>
      <c r="AV84" s="457">
        <f>AV85+AV86</f>
        <v>0</v>
      </c>
      <c r="AW84" s="457">
        <f t="shared" si="138"/>
        <v>0</v>
      </c>
      <c r="AX84" s="457">
        <f t="shared" si="138"/>
        <v>0</v>
      </c>
      <c r="AY84" s="457">
        <f>AY85+AY86</f>
        <v>0</v>
      </c>
      <c r="AZ84" s="457">
        <f>AZ85+AZ86</f>
        <v>0</v>
      </c>
      <c r="BA84" s="457">
        <f>BA85+BA86</f>
        <v>0</v>
      </c>
      <c r="BB84" s="457">
        <f t="shared" si="138"/>
        <v>0</v>
      </c>
      <c r="BC84" s="457">
        <f t="shared" si="138"/>
        <v>0</v>
      </c>
      <c r="BD84" s="457">
        <f t="shared" si="138"/>
        <v>0</v>
      </c>
      <c r="BE84" s="457">
        <f t="shared" si="138"/>
        <v>0</v>
      </c>
      <c r="BF84" s="457">
        <f t="shared" si="138"/>
        <v>0</v>
      </c>
      <c r="BG84" s="457">
        <f t="shared" si="138"/>
        <v>0</v>
      </c>
      <c r="BH84" s="457">
        <f t="shared" si="138"/>
        <v>0</v>
      </c>
      <c r="BI84" s="457">
        <f>BI85+BI86</f>
        <v>0</v>
      </c>
      <c r="BJ84" s="457">
        <f t="shared" si="138"/>
        <v>0</v>
      </c>
      <c r="BK84" s="457">
        <f t="shared" si="138"/>
        <v>0</v>
      </c>
      <c r="BL84" s="457">
        <f t="shared" si="138"/>
        <v>0</v>
      </c>
      <c r="BM84" s="457">
        <f t="shared" si="138"/>
        <v>0</v>
      </c>
      <c r="BN84" s="457">
        <f>BN85+BN86</f>
        <v>0</v>
      </c>
      <c r="BO84" s="457">
        <f t="shared" si="138"/>
        <v>0</v>
      </c>
      <c r="BP84" s="457">
        <f t="shared" si="138"/>
        <v>0</v>
      </c>
      <c r="BQ84" s="457">
        <f t="shared" si="138"/>
        <v>0</v>
      </c>
      <c r="BR84" s="457">
        <f t="shared" si="138"/>
        <v>0</v>
      </c>
      <c r="BS84" s="457">
        <f t="shared" si="138"/>
        <v>0</v>
      </c>
      <c r="BT84" s="457">
        <f t="shared" si="138"/>
        <v>0</v>
      </c>
      <c r="BU84" s="457">
        <f t="shared" si="138"/>
        <v>0</v>
      </c>
      <c r="BV84" s="457">
        <f t="shared" si="138"/>
        <v>0</v>
      </c>
      <c r="BW84" s="457">
        <f t="shared" si="138"/>
        <v>0</v>
      </c>
      <c r="BX84" s="457">
        <f t="shared" si="138"/>
        <v>0</v>
      </c>
      <c r="BY84" s="457">
        <f t="shared" si="138"/>
        <v>0</v>
      </c>
      <c r="BZ84" s="457">
        <f aca="true" t="shared" si="139" ref="BZ84:CP84">BZ85+BZ86</f>
        <v>0</v>
      </c>
      <c r="CA84" s="457">
        <f>CA85+CA86</f>
        <v>0</v>
      </c>
      <c r="CB84" s="457">
        <f t="shared" si="139"/>
        <v>0</v>
      </c>
      <c r="CC84" s="457">
        <f t="shared" si="139"/>
        <v>0</v>
      </c>
      <c r="CD84" s="457">
        <f t="shared" si="139"/>
        <v>0</v>
      </c>
      <c r="CE84" s="457">
        <f>CE85+CE86</f>
        <v>0</v>
      </c>
      <c r="CF84" s="457">
        <f>CF85+CF86</f>
        <v>0</v>
      </c>
      <c r="CG84" s="457">
        <f t="shared" si="139"/>
        <v>0</v>
      </c>
      <c r="CH84" s="457">
        <f>CH85+CH86</f>
        <v>0</v>
      </c>
      <c r="CI84" s="457">
        <f>CI85+CI86</f>
        <v>0</v>
      </c>
      <c r="CJ84" s="457">
        <f t="shared" si="139"/>
        <v>0</v>
      </c>
      <c r="CK84" s="457">
        <f t="shared" si="139"/>
        <v>0</v>
      </c>
      <c r="CL84" s="457">
        <f t="shared" si="139"/>
        <v>0</v>
      </c>
      <c r="CM84" s="457">
        <f t="shared" si="139"/>
        <v>0</v>
      </c>
      <c r="CN84" s="457">
        <f t="shared" si="139"/>
        <v>0</v>
      </c>
      <c r="CO84" s="457">
        <f t="shared" si="139"/>
        <v>0</v>
      </c>
      <c r="CP84" s="457">
        <f t="shared" si="139"/>
        <v>0</v>
      </c>
      <c r="CQ84" s="457">
        <f>CQ85+CQ86</f>
        <v>0</v>
      </c>
      <c r="CR84" s="453" t="s">
        <v>271</v>
      </c>
      <c r="CS84" s="457">
        <f aca="true" t="shared" si="140" ref="CS84:FI84">CS85+CS86</f>
        <v>4549905000</v>
      </c>
      <c r="CT84" s="457">
        <f t="shared" si="140"/>
        <v>0</v>
      </c>
      <c r="CU84" s="457">
        <f t="shared" si="140"/>
        <v>0</v>
      </c>
      <c r="CV84" s="457">
        <f>CV85+CV86</f>
        <v>0</v>
      </c>
      <c r="CW84" s="457">
        <f>CW85+CW86</f>
        <v>0</v>
      </c>
      <c r="CX84" s="457">
        <f>CX85+CX86</f>
        <v>0</v>
      </c>
      <c r="CY84" s="457">
        <f t="shared" si="140"/>
        <v>0</v>
      </c>
      <c r="CZ84" s="457">
        <f t="shared" si="140"/>
        <v>4549905000</v>
      </c>
      <c r="DA84" s="457">
        <f t="shared" si="140"/>
        <v>4549905000</v>
      </c>
      <c r="DB84" s="457">
        <f>DB85+DB86</f>
        <v>0</v>
      </c>
      <c r="DC84" s="457">
        <f t="shared" si="140"/>
        <v>0</v>
      </c>
      <c r="DD84" s="457">
        <f t="shared" si="140"/>
        <v>0</v>
      </c>
      <c r="DE84" s="457">
        <f t="shared" si="140"/>
        <v>0</v>
      </c>
      <c r="DF84" s="457">
        <f t="shared" si="140"/>
        <v>0</v>
      </c>
      <c r="DG84" s="457">
        <f t="shared" si="140"/>
        <v>0</v>
      </c>
      <c r="DH84" s="457">
        <f t="shared" si="140"/>
        <v>0</v>
      </c>
      <c r="DI84" s="457">
        <f>DI85+DI86</f>
        <v>0</v>
      </c>
      <c r="DJ84" s="457">
        <f t="shared" si="140"/>
        <v>0</v>
      </c>
      <c r="DK84" s="457">
        <f t="shared" si="140"/>
        <v>0</v>
      </c>
      <c r="DL84" s="457">
        <f>DL85+DL86</f>
        <v>0</v>
      </c>
      <c r="DM84" s="457">
        <f>DM85+DM86</f>
        <v>0</v>
      </c>
      <c r="DN84" s="457">
        <f t="shared" si="140"/>
        <v>0</v>
      </c>
      <c r="DO84" s="457">
        <f t="shared" si="140"/>
        <v>0</v>
      </c>
      <c r="DP84" s="457">
        <f t="shared" si="140"/>
        <v>0</v>
      </c>
      <c r="DQ84" s="457">
        <f t="shared" si="140"/>
        <v>0</v>
      </c>
      <c r="DR84" s="457">
        <f t="shared" si="140"/>
        <v>0</v>
      </c>
      <c r="DS84" s="457">
        <f t="shared" si="140"/>
        <v>0</v>
      </c>
      <c r="DT84" s="457">
        <f t="shared" si="140"/>
        <v>0</v>
      </c>
      <c r="DU84" s="457">
        <f t="shared" si="140"/>
        <v>0</v>
      </c>
      <c r="DV84" s="457">
        <f t="shared" si="140"/>
        <v>0</v>
      </c>
      <c r="DW84" s="457">
        <f>DW85+DW86</f>
        <v>0</v>
      </c>
      <c r="DX84" s="457">
        <f t="shared" si="140"/>
        <v>0</v>
      </c>
      <c r="DY84" s="457">
        <f t="shared" si="140"/>
        <v>0</v>
      </c>
      <c r="DZ84" s="457">
        <f t="shared" si="140"/>
        <v>0</v>
      </c>
      <c r="EA84" s="457">
        <f t="shared" si="140"/>
        <v>0</v>
      </c>
      <c r="EB84" s="457">
        <f t="shared" si="140"/>
        <v>0</v>
      </c>
      <c r="EC84" s="457">
        <f t="shared" si="140"/>
        <v>0</v>
      </c>
      <c r="ED84" s="457">
        <f t="shared" si="140"/>
        <v>0</v>
      </c>
      <c r="EE84" s="457">
        <f t="shared" si="140"/>
        <v>0</v>
      </c>
      <c r="EF84" s="457">
        <f t="shared" si="140"/>
        <v>0</v>
      </c>
      <c r="EG84" s="457">
        <f>EG85+EG86</f>
        <v>0</v>
      </c>
      <c r="EH84" s="457">
        <f>EH85+EH86</f>
        <v>0</v>
      </c>
      <c r="EI84" s="457">
        <f t="shared" si="140"/>
        <v>0</v>
      </c>
      <c r="EJ84" s="457">
        <f t="shared" si="140"/>
        <v>0</v>
      </c>
      <c r="EK84" s="457">
        <f t="shared" si="140"/>
        <v>0</v>
      </c>
      <c r="EL84" s="457">
        <f>EL85+EL86</f>
        <v>0</v>
      </c>
      <c r="EM84" s="457">
        <f t="shared" si="140"/>
        <v>0</v>
      </c>
      <c r="EN84" s="457">
        <f t="shared" si="140"/>
        <v>0</v>
      </c>
      <c r="EO84" s="457">
        <f t="shared" si="140"/>
        <v>0</v>
      </c>
      <c r="EP84" s="457">
        <f t="shared" si="140"/>
        <v>0</v>
      </c>
      <c r="EQ84" s="457">
        <f t="shared" si="140"/>
        <v>0</v>
      </c>
      <c r="ER84" s="457">
        <f t="shared" si="140"/>
        <v>0</v>
      </c>
      <c r="ES84" s="457">
        <f t="shared" si="140"/>
        <v>0</v>
      </c>
      <c r="ET84" s="457">
        <f t="shared" si="140"/>
        <v>0</v>
      </c>
      <c r="EU84" s="457">
        <f t="shared" si="140"/>
        <v>0</v>
      </c>
      <c r="EV84" s="457">
        <f t="shared" si="140"/>
        <v>0</v>
      </c>
      <c r="EW84" s="457">
        <f t="shared" si="140"/>
        <v>0</v>
      </c>
      <c r="EX84" s="457">
        <f t="shared" si="140"/>
        <v>0</v>
      </c>
      <c r="EY84" s="457">
        <f>EY85+EY86</f>
        <v>0</v>
      </c>
      <c r="EZ84" s="457">
        <f t="shared" si="140"/>
        <v>0</v>
      </c>
      <c r="FA84" s="457">
        <f t="shared" si="140"/>
        <v>0</v>
      </c>
      <c r="FB84" s="457">
        <f t="shared" si="140"/>
        <v>0</v>
      </c>
      <c r="FC84" s="457">
        <f t="shared" si="140"/>
        <v>0</v>
      </c>
      <c r="FD84" s="457">
        <f>FD85+FD86</f>
        <v>0</v>
      </c>
      <c r="FE84" s="457">
        <f t="shared" si="140"/>
        <v>0</v>
      </c>
      <c r="FF84" s="457">
        <f t="shared" si="140"/>
        <v>0</v>
      </c>
      <c r="FG84" s="457">
        <f t="shared" si="140"/>
        <v>0</v>
      </c>
      <c r="FH84" s="457">
        <f t="shared" si="140"/>
        <v>0</v>
      </c>
      <c r="FI84" s="457">
        <f t="shared" si="140"/>
        <v>0</v>
      </c>
      <c r="FJ84" s="457">
        <f aca="true" t="shared" si="141" ref="FJ84:GF84">FJ85+FJ86</f>
        <v>0</v>
      </c>
      <c r="FK84" s="457">
        <f t="shared" si="141"/>
        <v>0</v>
      </c>
      <c r="FL84" s="457">
        <f t="shared" si="141"/>
        <v>0</v>
      </c>
      <c r="FM84" s="457">
        <f t="shared" si="141"/>
        <v>0</v>
      </c>
      <c r="FN84" s="457">
        <f t="shared" si="141"/>
        <v>0</v>
      </c>
      <c r="FO84" s="457">
        <f t="shared" si="141"/>
        <v>0</v>
      </c>
      <c r="FP84" s="457">
        <f t="shared" si="141"/>
        <v>0</v>
      </c>
      <c r="FQ84" s="457">
        <f>FQ85+FQ86</f>
        <v>0</v>
      </c>
      <c r="FR84" s="457">
        <f t="shared" si="141"/>
        <v>0</v>
      </c>
      <c r="FS84" s="457">
        <f t="shared" si="141"/>
        <v>0</v>
      </c>
      <c r="FT84" s="457">
        <f t="shared" si="141"/>
        <v>0</v>
      </c>
      <c r="FU84" s="457">
        <f t="shared" si="141"/>
        <v>0</v>
      </c>
      <c r="FV84" s="457">
        <f t="shared" si="141"/>
        <v>0</v>
      </c>
      <c r="FW84" s="457">
        <f t="shared" si="141"/>
        <v>0</v>
      </c>
      <c r="FX84" s="457">
        <f>FX85+FX86</f>
        <v>0</v>
      </c>
      <c r="FY84" s="457"/>
      <c r="FZ84" s="457">
        <f t="shared" si="141"/>
        <v>0</v>
      </c>
      <c r="GA84" s="457">
        <f t="shared" si="141"/>
        <v>0</v>
      </c>
      <c r="GB84" s="457">
        <f t="shared" si="141"/>
        <v>0</v>
      </c>
      <c r="GC84" s="457">
        <f t="shared" si="141"/>
        <v>0</v>
      </c>
      <c r="GD84" s="457">
        <f t="shared" si="141"/>
        <v>0</v>
      </c>
      <c r="GE84" s="457">
        <f t="shared" si="141"/>
        <v>0</v>
      </c>
      <c r="GF84" s="457">
        <f t="shared" si="141"/>
        <v>0</v>
      </c>
      <c r="GG84" s="457">
        <f>GG85+GG86</f>
        <v>0</v>
      </c>
      <c r="GH84" s="457">
        <f>GH85+GH86</f>
        <v>0</v>
      </c>
      <c r="GI84" s="453" t="s">
        <v>271</v>
      </c>
      <c r="GJ84" s="455">
        <f>CS84/C84</f>
        <v>0.9966933187294633</v>
      </c>
      <c r="GK84" s="455"/>
      <c r="GL84" s="455">
        <f>CZ84/J84</f>
        <v>0.9966933187294633</v>
      </c>
      <c r="GM84" s="455"/>
      <c r="GN84" s="455"/>
    </row>
    <row r="85" spans="1:196" s="456" customFormat="1" ht="13.5" customHeight="1" hidden="1">
      <c r="A85" s="452"/>
      <c r="B85" s="453" t="s">
        <v>250</v>
      </c>
      <c r="C85" s="457">
        <f>D85+J85+AY85+CD85</f>
        <v>0</v>
      </c>
      <c r="D85" s="457">
        <f>SUM(E85:I85)</f>
        <v>0</v>
      </c>
      <c r="E85" s="457"/>
      <c r="F85" s="457"/>
      <c r="G85" s="457"/>
      <c r="H85" s="457"/>
      <c r="I85" s="457"/>
      <c r="J85" s="457">
        <f>SUM(K85:AX85)</f>
        <v>0</v>
      </c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457"/>
      <c r="AG85" s="457"/>
      <c r="AH85" s="457"/>
      <c r="AI85" s="457"/>
      <c r="AJ85" s="457"/>
      <c r="AK85" s="457"/>
      <c r="AL85" s="457"/>
      <c r="AM85" s="457"/>
      <c r="AN85" s="457"/>
      <c r="AO85" s="457"/>
      <c r="AP85" s="457"/>
      <c r="AQ85" s="457"/>
      <c r="AR85" s="457"/>
      <c r="AS85" s="457"/>
      <c r="AT85" s="457"/>
      <c r="AU85" s="457"/>
      <c r="AV85" s="457"/>
      <c r="AW85" s="457"/>
      <c r="AX85" s="457"/>
      <c r="AY85" s="457">
        <f>SUM(AZ85:BA85)</f>
        <v>0</v>
      </c>
      <c r="AZ85" s="457">
        <f>SUM(BB85:BI85)+SUM(BQ85:BX85)</f>
        <v>0</v>
      </c>
      <c r="BA85" s="457">
        <f>SUM(BJ85:BP85)+SUM(BY85:CC85)</f>
        <v>0</v>
      </c>
      <c r="BB85" s="457"/>
      <c r="BC85" s="457"/>
      <c r="BD85" s="457"/>
      <c r="BE85" s="457"/>
      <c r="BF85" s="457"/>
      <c r="BG85" s="457"/>
      <c r="BH85" s="457"/>
      <c r="BI85" s="457"/>
      <c r="BJ85" s="457"/>
      <c r="BK85" s="457"/>
      <c r="BL85" s="457"/>
      <c r="BM85" s="457"/>
      <c r="BN85" s="457"/>
      <c r="BO85" s="457"/>
      <c r="BP85" s="457"/>
      <c r="BQ85" s="457"/>
      <c r="BR85" s="457"/>
      <c r="BS85" s="457"/>
      <c r="BT85" s="457"/>
      <c r="BU85" s="457"/>
      <c r="BV85" s="457"/>
      <c r="BW85" s="457"/>
      <c r="BX85" s="457"/>
      <c r="BY85" s="457"/>
      <c r="BZ85" s="457"/>
      <c r="CA85" s="457"/>
      <c r="CB85" s="457"/>
      <c r="CC85" s="457"/>
      <c r="CD85" s="457">
        <f>SUM(CE85:CF85)</f>
        <v>0</v>
      </c>
      <c r="CE85" s="457">
        <f>SUM(CG85:CI85)</f>
        <v>0</v>
      </c>
      <c r="CF85" s="457">
        <f>SUM(CJ85:CQ85)</f>
        <v>0</v>
      </c>
      <c r="CG85" s="457"/>
      <c r="CH85" s="457"/>
      <c r="CI85" s="457"/>
      <c r="CJ85" s="457"/>
      <c r="CK85" s="457"/>
      <c r="CL85" s="457"/>
      <c r="CM85" s="457"/>
      <c r="CN85" s="457"/>
      <c r="CO85" s="457"/>
      <c r="CP85" s="457"/>
      <c r="CQ85" s="457"/>
      <c r="CR85" s="453" t="s">
        <v>250</v>
      </c>
      <c r="CS85" s="457">
        <f>CT85+CZ85+EO85+FT85+GH85</f>
        <v>0</v>
      </c>
      <c r="CT85" s="457">
        <f>SUM(CU85:CY85)</f>
        <v>0</v>
      </c>
      <c r="CU85" s="457"/>
      <c r="CV85" s="457"/>
      <c r="CW85" s="457"/>
      <c r="CX85" s="457"/>
      <c r="CY85" s="457"/>
      <c r="CZ85" s="457">
        <f>SUM(DA85:EN85)</f>
        <v>0</v>
      </c>
      <c r="DA85" s="457"/>
      <c r="DB85" s="457"/>
      <c r="DC85" s="457"/>
      <c r="DD85" s="457"/>
      <c r="DE85" s="457"/>
      <c r="DF85" s="457"/>
      <c r="DG85" s="457"/>
      <c r="DH85" s="457"/>
      <c r="DI85" s="457"/>
      <c r="DJ85" s="457"/>
      <c r="DK85" s="457"/>
      <c r="DL85" s="457"/>
      <c r="DM85" s="457"/>
      <c r="DN85" s="457"/>
      <c r="DO85" s="457"/>
      <c r="DP85" s="457"/>
      <c r="DQ85" s="457"/>
      <c r="DR85" s="457"/>
      <c r="DS85" s="457"/>
      <c r="DT85" s="457"/>
      <c r="DU85" s="457"/>
      <c r="DV85" s="457"/>
      <c r="DW85" s="457"/>
      <c r="DX85" s="457"/>
      <c r="DY85" s="457"/>
      <c r="DZ85" s="457"/>
      <c r="EA85" s="457"/>
      <c r="EB85" s="457"/>
      <c r="EC85" s="457"/>
      <c r="ED85" s="457"/>
      <c r="EE85" s="457"/>
      <c r="EF85" s="457"/>
      <c r="EG85" s="457"/>
      <c r="EH85" s="457"/>
      <c r="EI85" s="457"/>
      <c r="EJ85" s="457"/>
      <c r="EK85" s="457"/>
      <c r="EL85" s="457"/>
      <c r="EM85" s="457"/>
      <c r="EN85" s="457"/>
      <c r="EO85" s="457">
        <f>SUM(EP85:EQ85)</f>
        <v>0</v>
      </c>
      <c r="EP85" s="457">
        <f>SUM(ER85:EY85)+SUM(FG85:FN85)</f>
        <v>0</v>
      </c>
      <c r="EQ85" s="457">
        <f>SUM(EZ85:FF85)+SUM(FO85:FS85)</f>
        <v>0</v>
      </c>
      <c r="ER85" s="457"/>
      <c r="ES85" s="457"/>
      <c r="ET85" s="457"/>
      <c r="EU85" s="457"/>
      <c r="EV85" s="457"/>
      <c r="EW85" s="457"/>
      <c r="EX85" s="457"/>
      <c r="EY85" s="457"/>
      <c r="EZ85" s="457"/>
      <c r="FA85" s="457"/>
      <c r="FB85" s="457"/>
      <c r="FC85" s="457"/>
      <c r="FD85" s="457"/>
      <c r="FE85" s="457"/>
      <c r="FF85" s="457"/>
      <c r="FG85" s="457"/>
      <c r="FH85" s="457"/>
      <c r="FI85" s="457"/>
      <c r="FJ85" s="457"/>
      <c r="FK85" s="457"/>
      <c r="FL85" s="457"/>
      <c r="FM85" s="457"/>
      <c r="FN85" s="457"/>
      <c r="FO85" s="457"/>
      <c r="FP85" s="457"/>
      <c r="FQ85" s="457"/>
      <c r="FR85" s="457"/>
      <c r="FS85" s="457"/>
      <c r="FT85" s="457">
        <f>SUM(FU85:FV85)</f>
        <v>0</v>
      </c>
      <c r="FU85" s="457">
        <f>SUM(FW85:FY85)</f>
        <v>0</v>
      </c>
      <c r="FV85" s="457">
        <f>SUM(FZ85:GG85)</f>
        <v>0</v>
      </c>
      <c r="FW85" s="457"/>
      <c r="FX85" s="457"/>
      <c r="FY85" s="457"/>
      <c r="FZ85" s="457"/>
      <c r="GA85" s="457"/>
      <c r="GB85" s="457"/>
      <c r="GC85" s="457"/>
      <c r="GD85" s="457"/>
      <c r="GE85" s="457"/>
      <c r="GF85" s="457"/>
      <c r="GG85" s="457"/>
      <c r="GH85" s="457"/>
      <c r="GI85" s="453" t="s">
        <v>250</v>
      </c>
      <c r="GJ85" s="455"/>
      <c r="GK85" s="455"/>
      <c r="GL85" s="455"/>
      <c r="GM85" s="455"/>
      <c r="GN85" s="455"/>
    </row>
    <row r="86" spans="1:196" s="456" customFormat="1" ht="13.5" customHeight="1" hidden="1">
      <c r="A86" s="452"/>
      <c r="B86" s="453" t="s">
        <v>251</v>
      </c>
      <c r="C86" s="457">
        <f>D86+J86+AY86+CD86</f>
        <v>4565000000</v>
      </c>
      <c r="D86" s="457">
        <f>SUM(E86:I86)</f>
        <v>0</v>
      </c>
      <c r="E86" s="457"/>
      <c r="F86" s="457"/>
      <c r="G86" s="457"/>
      <c r="H86" s="457"/>
      <c r="I86" s="457"/>
      <c r="J86" s="457">
        <f>SUM(K86:AX86)</f>
        <v>4565000000</v>
      </c>
      <c r="K86" s="457">
        <f>4115000000+450000000</f>
        <v>4565000000</v>
      </c>
      <c r="L86" s="457"/>
      <c r="M86" s="457"/>
      <c r="N86" s="457"/>
      <c r="O86" s="457"/>
      <c r="P86" s="457"/>
      <c r="Q86" s="457"/>
      <c r="R86" s="457"/>
      <c r="S86" s="457"/>
      <c r="T86" s="457"/>
      <c r="U86" s="457"/>
      <c r="V86" s="457"/>
      <c r="W86" s="457"/>
      <c r="X86" s="457"/>
      <c r="Y86" s="457"/>
      <c r="Z86" s="457"/>
      <c r="AA86" s="457"/>
      <c r="AB86" s="457"/>
      <c r="AC86" s="457"/>
      <c r="AD86" s="457"/>
      <c r="AE86" s="457"/>
      <c r="AF86" s="457"/>
      <c r="AG86" s="457"/>
      <c r="AH86" s="457"/>
      <c r="AI86" s="457"/>
      <c r="AJ86" s="457"/>
      <c r="AK86" s="457"/>
      <c r="AL86" s="457"/>
      <c r="AM86" s="457"/>
      <c r="AN86" s="457"/>
      <c r="AO86" s="457"/>
      <c r="AP86" s="457"/>
      <c r="AQ86" s="457"/>
      <c r="AR86" s="457"/>
      <c r="AS86" s="457"/>
      <c r="AT86" s="457"/>
      <c r="AU86" s="457"/>
      <c r="AV86" s="457"/>
      <c r="AW86" s="457"/>
      <c r="AX86" s="457"/>
      <c r="AY86" s="457">
        <f>SUM(AZ86:BA86)</f>
        <v>0</v>
      </c>
      <c r="AZ86" s="457">
        <f>SUM(BB86:BI86)+SUM(BQ86:BX86)</f>
        <v>0</v>
      </c>
      <c r="BA86" s="457">
        <f>SUM(BJ86:BP86)+SUM(BY86:CC86)</f>
        <v>0</v>
      </c>
      <c r="BB86" s="457"/>
      <c r="BC86" s="457"/>
      <c r="BD86" s="457"/>
      <c r="BE86" s="457"/>
      <c r="BF86" s="457"/>
      <c r="BG86" s="457"/>
      <c r="BH86" s="457"/>
      <c r="BI86" s="457"/>
      <c r="BJ86" s="457"/>
      <c r="BK86" s="457"/>
      <c r="BL86" s="457"/>
      <c r="BM86" s="457"/>
      <c r="BN86" s="457"/>
      <c r="BO86" s="457"/>
      <c r="BP86" s="457"/>
      <c r="BQ86" s="457"/>
      <c r="BR86" s="457"/>
      <c r="BS86" s="457"/>
      <c r="BT86" s="457"/>
      <c r="BU86" s="457"/>
      <c r="BV86" s="457"/>
      <c r="BW86" s="457"/>
      <c r="BX86" s="457"/>
      <c r="BY86" s="457"/>
      <c r="BZ86" s="457"/>
      <c r="CA86" s="457"/>
      <c r="CB86" s="457"/>
      <c r="CC86" s="457"/>
      <c r="CD86" s="457">
        <f>SUM(CE86:CF86)</f>
        <v>0</v>
      </c>
      <c r="CE86" s="457">
        <f>SUM(CG86:CI86)</f>
        <v>0</v>
      </c>
      <c r="CF86" s="457">
        <f>SUM(CJ86:CQ86)</f>
        <v>0</v>
      </c>
      <c r="CG86" s="457"/>
      <c r="CH86" s="457"/>
      <c r="CI86" s="457"/>
      <c r="CJ86" s="457"/>
      <c r="CK86" s="457"/>
      <c r="CL86" s="457"/>
      <c r="CM86" s="457"/>
      <c r="CN86" s="457"/>
      <c r="CO86" s="457"/>
      <c r="CP86" s="457"/>
      <c r="CQ86" s="457"/>
      <c r="CR86" s="453" t="s">
        <v>251</v>
      </c>
      <c r="CS86" s="457">
        <f>CT86+CZ86+EO86+FT86+GH86</f>
        <v>4549905000</v>
      </c>
      <c r="CT86" s="457">
        <f>SUM(CU86:CY86)</f>
        <v>0</v>
      </c>
      <c r="CU86" s="457"/>
      <c r="CV86" s="457"/>
      <c r="CW86" s="457"/>
      <c r="CX86" s="457"/>
      <c r="CY86" s="457"/>
      <c r="CZ86" s="457">
        <f>SUM(DA86:EN86)</f>
        <v>4549905000</v>
      </c>
      <c r="DA86" s="457">
        <f>4115000000-15095000+450000000</f>
        <v>4549905000</v>
      </c>
      <c r="DB86" s="457"/>
      <c r="DC86" s="457"/>
      <c r="DD86" s="457"/>
      <c r="DE86" s="457"/>
      <c r="DF86" s="457"/>
      <c r="DG86" s="457"/>
      <c r="DH86" s="457"/>
      <c r="DI86" s="457"/>
      <c r="DJ86" s="457"/>
      <c r="DK86" s="457"/>
      <c r="DL86" s="457"/>
      <c r="DM86" s="457"/>
      <c r="DN86" s="457"/>
      <c r="DO86" s="457"/>
      <c r="DP86" s="457"/>
      <c r="DQ86" s="457"/>
      <c r="DR86" s="457"/>
      <c r="DS86" s="457"/>
      <c r="DT86" s="457"/>
      <c r="DU86" s="457"/>
      <c r="DV86" s="457"/>
      <c r="DW86" s="457"/>
      <c r="DX86" s="457"/>
      <c r="DY86" s="457"/>
      <c r="DZ86" s="457"/>
      <c r="EA86" s="457"/>
      <c r="EB86" s="457"/>
      <c r="EC86" s="457"/>
      <c r="ED86" s="457"/>
      <c r="EE86" s="457"/>
      <c r="EF86" s="457"/>
      <c r="EG86" s="457"/>
      <c r="EH86" s="457"/>
      <c r="EI86" s="457"/>
      <c r="EJ86" s="457"/>
      <c r="EK86" s="457"/>
      <c r="EL86" s="457"/>
      <c r="EM86" s="457"/>
      <c r="EN86" s="457"/>
      <c r="EO86" s="457">
        <f>SUM(EP86:EQ86)</f>
        <v>0</v>
      </c>
      <c r="EP86" s="457">
        <f>SUM(ER86:EY86)+SUM(FG86:FN86)</f>
        <v>0</v>
      </c>
      <c r="EQ86" s="457">
        <f>SUM(EZ86:FF86)+SUM(FO86:FS86)</f>
        <v>0</v>
      </c>
      <c r="ER86" s="457"/>
      <c r="ES86" s="457"/>
      <c r="ET86" s="457"/>
      <c r="EU86" s="457"/>
      <c r="EV86" s="457"/>
      <c r="EW86" s="457"/>
      <c r="EX86" s="457"/>
      <c r="EY86" s="457"/>
      <c r="EZ86" s="457"/>
      <c r="FA86" s="457"/>
      <c r="FB86" s="457"/>
      <c r="FC86" s="457"/>
      <c r="FD86" s="457"/>
      <c r="FE86" s="457"/>
      <c r="FF86" s="457"/>
      <c r="FG86" s="457"/>
      <c r="FH86" s="457"/>
      <c r="FI86" s="457"/>
      <c r="FJ86" s="457"/>
      <c r="FK86" s="457"/>
      <c r="FL86" s="457"/>
      <c r="FM86" s="457"/>
      <c r="FN86" s="457"/>
      <c r="FO86" s="457"/>
      <c r="FP86" s="457"/>
      <c r="FQ86" s="457"/>
      <c r="FR86" s="457"/>
      <c r="FS86" s="457"/>
      <c r="FT86" s="457">
        <f>SUM(FU86:FV86)</f>
        <v>0</v>
      </c>
      <c r="FU86" s="457">
        <f>SUM(FW86:FY86)</f>
        <v>0</v>
      </c>
      <c r="FV86" s="457">
        <f>SUM(FZ86:GG86)</f>
        <v>0</v>
      </c>
      <c r="FW86" s="457"/>
      <c r="FX86" s="457"/>
      <c r="FY86" s="457"/>
      <c r="FZ86" s="457"/>
      <c r="GA86" s="457"/>
      <c r="GB86" s="457"/>
      <c r="GC86" s="457"/>
      <c r="GD86" s="457"/>
      <c r="GE86" s="457"/>
      <c r="GF86" s="457"/>
      <c r="GG86" s="457"/>
      <c r="GH86" s="457"/>
      <c r="GI86" s="453" t="s">
        <v>251</v>
      </c>
      <c r="GJ86" s="455">
        <f>CS86/C86</f>
        <v>0.9966933187294633</v>
      </c>
      <c r="GK86" s="455"/>
      <c r="GL86" s="455">
        <f>CZ86/J86</f>
        <v>0.9966933187294633</v>
      </c>
      <c r="GM86" s="455"/>
      <c r="GN86" s="455"/>
    </row>
    <row r="87" spans="1:196" s="456" customFormat="1" ht="13.5" customHeight="1">
      <c r="A87" s="452">
        <v>25</v>
      </c>
      <c r="B87" s="453" t="s">
        <v>272</v>
      </c>
      <c r="C87" s="457">
        <f aca="true" t="shared" si="142" ref="C87:H87">C88+C89</f>
        <v>140634066055</v>
      </c>
      <c r="D87" s="457">
        <f t="shared" si="142"/>
        <v>13041810000</v>
      </c>
      <c r="E87" s="457">
        <f t="shared" si="142"/>
        <v>286468000</v>
      </c>
      <c r="F87" s="457">
        <f t="shared" si="142"/>
        <v>10095342000</v>
      </c>
      <c r="G87" s="457">
        <f t="shared" si="142"/>
        <v>0</v>
      </c>
      <c r="H87" s="457">
        <f t="shared" si="142"/>
        <v>2660000000</v>
      </c>
      <c r="I87" s="457">
        <f aca="true" t="shared" si="143" ref="I87:BY87">I88+I89</f>
        <v>0</v>
      </c>
      <c r="J87" s="457">
        <f>J88+J89</f>
        <v>55305055770</v>
      </c>
      <c r="K87" s="457">
        <f t="shared" si="143"/>
        <v>0</v>
      </c>
      <c r="L87" s="457">
        <f>L88+L89</f>
        <v>0</v>
      </c>
      <c r="M87" s="457">
        <f t="shared" si="143"/>
        <v>663210000</v>
      </c>
      <c r="N87" s="457">
        <f t="shared" si="143"/>
        <v>0</v>
      </c>
      <c r="O87" s="457">
        <f t="shared" si="143"/>
        <v>0</v>
      </c>
      <c r="P87" s="457">
        <f t="shared" si="143"/>
        <v>0</v>
      </c>
      <c r="Q87" s="457">
        <f t="shared" si="143"/>
        <v>0</v>
      </c>
      <c r="R87" s="457">
        <f t="shared" si="143"/>
        <v>0</v>
      </c>
      <c r="S87" s="457">
        <f>S88+S89</f>
        <v>0</v>
      </c>
      <c r="T87" s="457">
        <f t="shared" si="143"/>
        <v>1080000000</v>
      </c>
      <c r="U87" s="457">
        <f t="shared" si="143"/>
        <v>0</v>
      </c>
      <c r="V87" s="457">
        <f>V88+V89</f>
        <v>0</v>
      </c>
      <c r="W87" s="457">
        <f>W88+W89</f>
        <v>0</v>
      </c>
      <c r="X87" s="457">
        <f t="shared" si="143"/>
        <v>0</v>
      </c>
      <c r="Y87" s="457">
        <f t="shared" si="143"/>
        <v>1035001000</v>
      </c>
      <c r="Z87" s="457">
        <f t="shared" si="143"/>
        <v>0</v>
      </c>
      <c r="AA87" s="457">
        <f t="shared" si="143"/>
        <v>400000000</v>
      </c>
      <c r="AB87" s="457">
        <f t="shared" si="143"/>
        <v>0</v>
      </c>
      <c r="AC87" s="457">
        <f t="shared" si="143"/>
        <v>0</v>
      </c>
      <c r="AD87" s="457">
        <f t="shared" si="143"/>
        <v>0</v>
      </c>
      <c r="AE87" s="457">
        <f t="shared" si="143"/>
        <v>0</v>
      </c>
      <c r="AF87" s="457">
        <f t="shared" si="143"/>
        <v>0</v>
      </c>
      <c r="AG87" s="457">
        <f>AG88+AG89</f>
        <v>0</v>
      </c>
      <c r="AH87" s="457">
        <f t="shared" si="143"/>
        <v>0</v>
      </c>
      <c r="AI87" s="457">
        <f t="shared" si="143"/>
        <v>3387491000</v>
      </c>
      <c r="AJ87" s="457">
        <f t="shared" si="143"/>
        <v>0</v>
      </c>
      <c r="AK87" s="457">
        <f t="shared" si="143"/>
        <v>0</v>
      </c>
      <c r="AL87" s="457">
        <f t="shared" si="143"/>
        <v>23357576770</v>
      </c>
      <c r="AM87" s="457">
        <f t="shared" si="143"/>
        <v>23053029000</v>
      </c>
      <c r="AN87" s="457">
        <f t="shared" si="143"/>
        <v>0</v>
      </c>
      <c r="AO87" s="457">
        <f t="shared" si="143"/>
        <v>0</v>
      </c>
      <c r="AP87" s="457">
        <f t="shared" si="143"/>
        <v>0</v>
      </c>
      <c r="AQ87" s="457">
        <f>AQ88+AQ89</f>
        <v>0</v>
      </c>
      <c r="AR87" s="457">
        <f>AR88+AR89</f>
        <v>0</v>
      </c>
      <c r="AS87" s="457">
        <f t="shared" si="143"/>
        <v>1447573000</v>
      </c>
      <c r="AT87" s="457">
        <f t="shared" si="143"/>
        <v>0</v>
      </c>
      <c r="AU87" s="457">
        <f t="shared" si="143"/>
        <v>881175000</v>
      </c>
      <c r="AV87" s="457">
        <f>AV88+AV89</f>
        <v>0</v>
      </c>
      <c r="AW87" s="457">
        <f t="shared" si="143"/>
        <v>0</v>
      </c>
      <c r="AX87" s="457">
        <f t="shared" si="143"/>
        <v>0</v>
      </c>
      <c r="AY87" s="457">
        <f>AY88+AY89</f>
        <v>66620907800</v>
      </c>
      <c r="AZ87" s="457">
        <f>AZ88+AZ89</f>
        <v>65458944800</v>
      </c>
      <c r="BA87" s="457">
        <f>BA88+BA89</f>
        <v>1161963000</v>
      </c>
      <c r="BB87" s="457">
        <f t="shared" si="143"/>
        <v>1212072000</v>
      </c>
      <c r="BC87" s="457">
        <f t="shared" si="143"/>
        <v>601506000</v>
      </c>
      <c r="BD87" s="457">
        <f t="shared" si="143"/>
        <v>170000000</v>
      </c>
      <c r="BE87" s="457">
        <f t="shared" si="143"/>
        <v>405000000</v>
      </c>
      <c r="BF87" s="457">
        <f t="shared" si="143"/>
        <v>0</v>
      </c>
      <c r="BG87" s="457">
        <f t="shared" si="143"/>
        <v>22115842000</v>
      </c>
      <c r="BH87" s="457">
        <f t="shared" si="143"/>
        <v>3516024000</v>
      </c>
      <c r="BI87" s="457">
        <f>BI88+BI89</f>
        <v>0</v>
      </c>
      <c r="BJ87" s="457">
        <f t="shared" si="143"/>
        <v>1161963000</v>
      </c>
      <c r="BK87" s="457">
        <f t="shared" si="143"/>
        <v>0</v>
      </c>
      <c r="BL87" s="457">
        <f t="shared" si="143"/>
        <v>0</v>
      </c>
      <c r="BM87" s="457">
        <f t="shared" si="143"/>
        <v>0</v>
      </c>
      <c r="BN87" s="457">
        <f>BN88+BN89</f>
        <v>0</v>
      </c>
      <c r="BO87" s="457">
        <f t="shared" si="143"/>
        <v>0</v>
      </c>
      <c r="BP87" s="457">
        <f t="shared" si="143"/>
        <v>0</v>
      </c>
      <c r="BQ87" s="457">
        <f t="shared" si="143"/>
        <v>16323188000</v>
      </c>
      <c r="BR87" s="457">
        <f t="shared" si="143"/>
        <v>13155886800</v>
      </c>
      <c r="BS87" s="457">
        <f t="shared" si="143"/>
        <v>6243528000</v>
      </c>
      <c r="BT87" s="457">
        <f t="shared" si="143"/>
        <v>251898000</v>
      </c>
      <c r="BU87" s="457">
        <f t="shared" si="143"/>
        <v>135000000</v>
      </c>
      <c r="BV87" s="457">
        <f t="shared" si="143"/>
        <v>322000000</v>
      </c>
      <c r="BW87" s="457">
        <f t="shared" si="143"/>
        <v>1007000000</v>
      </c>
      <c r="BX87" s="457">
        <f t="shared" si="143"/>
        <v>0</v>
      </c>
      <c r="BY87" s="457">
        <f t="shared" si="143"/>
        <v>0</v>
      </c>
      <c r="BZ87" s="457">
        <f aca="true" t="shared" si="144" ref="BZ87:CP87">BZ88+BZ89</f>
        <v>0</v>
      </c>
      <c r="CA87" s="457">
        <f>CA88+CA89</f>
        <v>0</v>
      </c>
      <c r="CB87" s="457">
        <f t="shared" si="144"/>
        <v>0</v>
      </c>
      <c r="CC87" s="457">
        <f t="shared" si="144"/>
        <v>0</v>
      </c>
      <c r="CD87" s="457">
        <f t="shared" si="144"/>
        <v>5666292485</v>
      </c>
      <c r="CE87" s="457">
        <f>CE88+CE89</f>
        <v>2577618485</v>
      </c>
      <c r="CF87" s="457">
        <f>CF88+CF89</f>
        <v>3088674000</v>
      </c>
      <c r="CG87" s="457">
        <f t="shared" si="144"/>
        <v>2577577485</v>
      </c>
      <c r="CH87" s="457">
        <f>CH88+CH89</f>
        <v>41000</v>
      </c>
      <c r="CI87" s="457">
        <f>CI88+CI89</f>
        <v>0</v>
      </c>
      <c r="CJ87" s="457">
        <f t="shared" si="144"/>
        <v>0</v>
      </c>
      <c r="CK87" s="457">
        <f t="shared" si="144"/>
        <v>0</v>
      </c>
      <c r="CL87" s="457">
        <f t="shared" si="144"/>
        <v>0</v>
      </c>
      <c r="CM87" s="457">
        <f t="shared" si="144"/>
        <v>0</v>
      </c>
      <c r="CN87" s="457">
        <f t="shared" si="144"/>
        <v>0</v>
      </c>
      <c r="CO87" s="457">
        <f t="shared" si="144"/>
        <v>3088674000</v>
      </c>
      <c r="CP87" s="457">
        <f t="shared" si="144"/>
        <v>0</v>
      </c>
      <c r="CQ87" s="457">
        <f>CQ88+CQ89</f>
        <v>0</v>
      </c>
      <c r="CR87" s="453" t="s">
        <v>272</v>
      </c>
      <c r="CS87" s="457">
        <f aca="true" t="shared" si="145" ref="CS87:CX87">CS88+CS89</f>
        <v>140596339185</v>
      </c>
      <c r="CT87" s="457">
        <f t="shared" si="145"/>
        <v>7600322000</v>
      </c>
      <c r="CU87" s="457">
        <f t="shared" si="145"/>
        <v>23750000</v>
      </c>
      <c r="CV87" s="457">
        <f t="shared" si="145"/>
        <v>6354672000</v>
      </c>
      <c r="CW87" s="457">
        <f t="shared" si="145"/>
        <v>0</v>
      </c>
      <c r="CX87" s="457">
        <f t="shared" si="145"/>
        <v>1221900000</v>
      </c>
      <c r="CY87" s="457">
        <f aca="true" t="shared" si="146" ref="CY87:FO87">CY88+CY89</f>
        <v>0</v>
      </c>
      <c r="CZ87" s="457">
        <f t="shared" si="146"/>
        <v>53811029700</v>
      </c>
      <c r="DA87" s="457">
        <f t="shared" si="146"/>
        <v>0</v>
      </c>
      <c r="DB87" s="457">
        <f>DB88+DB89</f>
        <v>0</v>
      </c>
      <c r="DC87" s="457">
        <f t="shared" si="146"/>
        <v>663210000</v>
      </c>
      <c r="DD87" s="457">
        <f t="shared" si="146"/>
        <v>0</v>
      </c>
      <c r="DE87" s="457">
        <f t="shared" si="146"/>
        <v>0</v>
      </c>
      <c r="DF87" s="457">
        <f t="shared" si="146"/>
        <v>0</v>
      </c>
      <c r="DG87" s="457">
        <f t="shared" si="146"/>
        <v>0</v>
      </c>
      <c r="DH87" s="457">
        <f t="shared" si="146"/>
        <v>0</v>
      </c>
      <c r="DI87" s="457">
        <f>DI88+DI89</f>
        <v>0</v>
      </c>
      <c r="DJ87" s="457">
        <f t="shared" si="146"/>
        <v>1080000000</v>
      </c>
      <c r="DK87" s="457">
        <f t="shared" si="146"/>
        <v>0</v>
      </c>
      <c r="DL87" s="457">
        <f>DL88+DL89</f>
        <v>0</v>
      </c>
      <c r="DM87" s="457">
        <f>DM88+DM89</f>
        <v>0</v>
      </c>
      <c r="DN87" s="457">
        <f t="shared" si="146"/>
        <v>0</v>
      </c>
      <c r="DO87" s="457">
        <f t="shared" si="146"/>
        <v>1035001000</v>
      </c>
      <c r="DP87" s="457">
        <f t="shared" si="146"/>
        <v>0</v>
      </c>
      <c r="DQ87" s="457">
        <f t="shared" si="146"/>
        <v>396705000</v>
      </c>
      <c r="DR87" s="457">
        <f t="shared" si="146"/>
        <v>0</v>
      </c>
      <c r="DS87" s="457">
        <f t="shared" si="146"/>
        <v>0</v>
      </c>
      <c r="DT87" s="457">
        <f t="shared" si="146"/>
        <v>0</v>
      </c>
      <c r="DU87" s="457">
        <f t="shared" si="146"/>
        <v>0</v>
      </c>
      <c r="DV87" s="457">
        <f t="shared" si="146"/>
        <v>0</v>
      </c>
      <c r="DW87" s="457">
        <f>DW88+DW89</f>
        <v>0</v>
      </c>
      <c r="DX87" s="457">
        <f t="shared" si="146"/>
        <v>0</v>
      </c>
      <c r="DY87" s="457">
        <f t="shared" si="146"/>
        <v>3387491000</v>
      </c>
      <c r="DZ87" s="457">
        <f t="shared" si="146"/>
        <v>0</v>
      </c>
      <c r="EA87" s="457">
        <f t="shared" si="146"/>
        <v>0</v>
      </c>
      <c r="EB87" s="457">
        <f t="shared" si="146"/>
        <v>23345576700</v>
      </c>
      <c r="EC87" s="457">
        <f t="shared" si="146"/>
        <v>21579526000</v>
      </c>
      <c r="ED87" s="457">
        <f t="shared" si="146"/>
        <v>0</v>
      </c>
      <c r="EE87" s="457">
        <f t="shared" si="146"/>
        <v>0</v>
      </c>
      <c r="EF87" s="457">
        <f t="shared" si="146"/>
        <v>0</v>
      </c>
      <c r="EG87" s="457">
        <f>EG88+EG89</f>
        <v>0</v>
      </c>
      <c r="EH87" s="457">
        <f>EH88+EH89</f>
        <v>0</v>
      </c>
      <c r="EI87" s="457">
        <f t="shared" si="146"/>
        <v>1442345000</v>
      </c>
      <c r="EJ87" s="457">
        <f t="shared" si="146"/>
        <v>0</v>
      </c>
      <c r="EK87" s="457">
        <f t="shared" si="146"/>
        <v>881175000</v>
      </c>
      <c r="EL87" s="457">
        <f>EL88+EL89</f>
        <v>0</v>
      </c>
      <c r="EM87" s="457">
        <f t="shared" si="146"/>
        <v>0</v>
      </c>
      <c r="EN87" s="457">
        <f t="shared" si="146"/>
        <v>0</v>
      </c>
      <c r="EO87" s="457">
        <f t="shared" si="146"/>
        <v>58429145500</v>
      </c>
      <c r="EP87" s="457">
        <f t="shared" si="146"/>
        <v>57267182500</v>
      </c>
      <c r="EQ87" s="457">
        <f t="shared" si="146"/>
        <v>1161963000</v>
      </c>
      <c r="ER87" s="457">
        <f t="shared" si="146"/>
        <v>996658500</v>
      </c>
      <c r="ES87" s="457">
        <f t="shared" si="146"/>
        <v>596550000</v>
      </c>
      <c r="ET87" s="457">
        <f t="shared" si="146"/>
        <v>170000000</v>
      </c>
      <c r="EU87" s="457">
        <f t="shared" si="146"/>
        <v>378150000</v>
      </c>
      <c r="EV87" s="457">
        <f t="shared" si="146"/>
        <v>0</v>
      </c>
      <c r="EW87" s="457">
        <f t="shared" si="146"/>
        <v>19282273000</v>
      </c>
      <c r="EX87" s="457">
        <f t="shared" si="146"/>
        <v>3202478000</v>
      </c>
      <c r="EY87" s="457">
        <f>EY88+EY89</f>
        <v>0</v>
      </c>
      <c r="EZ87" s="457">
        <f t="shared" si="146"/>
        <v>1161963000</v>
      </c>
      <c r="FA87" s="457">
        <f t="shared" si="146"/>
        <v>0</v>
      </c>
      <c r="FB87" s="457">
        <f t="shared" si="146"/>
        <v>0</v>
      </c>
      <c r="FC87" s="457">
        <f t="shared" si="146"/>
        <v>0</v>
      </c>
      <c r="FD87" s="457">
        <f>FD88+FD89</f>
        <v>0</v>
      </c>
      <c r="FE87" s="457">
        <f t="shared" si="146"/>
        <v>0</v>
      </c>
      <c r="FF87" s="457">
        <f t="shared" si="146"/>
        <v>0</v>
      </c>
      <c r="FG87" s="457">
        <f t="shared" si="146"/>
        <v>14988583000</v>
      </c>
      <c r="FH87" s="457">
        <f t="shared" si="146"/>
        <v>10817348000</v>
      </c>
      <c r="FI87" s="457">
        <f t="shared" si="146"/>
        <v>5929244000</v>
      </c>
      <c r="FJ87" s="457">
        <f t="shared" si="146"/>
        <v>251898000</v>
      </c>
      <c r="FK87" s="457">
        <f t="shared" si="146"/>
        <v>135000000</v>
      </c>
      <c r="FL87" s="457">
        <f t="shared" si="146"/>
        <v>322000000</v>
      </c>
      <c r="FM87" s="457">
        <f t="shared" si="146"/>
        <v>197000000</v>
      </c>
      <c r="FN87" s="457">
        <f t="shared" si="146"/>
        <v>0</v>
      </c>
      <c r="FO87" s="457">
        <f t="shared" si="146"/>
        <v>0</v>
      </c>
      <c r="FP87" s="457">
        <f aca="true" t="shared" si="147" ref="FP87:GF87">FP88+FP89</f>
        <v>0</v>
      </c>
      <c r="FQ87" s="457">
        <f>FQ88+FQ89</f>
        <v>0</v>
      </c>
      <c r="FR87" s="457">
        <f t="shared" si="147"/>
        <v>0</v>
      </c>
      <c r="FS87" s="457">
        <f t="shared" si="147"/>
        <v>0</v>
      </c>
      <c r="FT87" s="457">
        <f t="shared" si="147"/>
        <v>5666116485</v>
      </c>
      <c r="FU87" s="457">
        <f t="shared" si="147"/>
        <v>2577442485</v>
      </c>
      <c r="FV87" s="457">
        <f t="shared" si="147"/>
        <v>3088674000</v>
      </c>
      <c r="FW87" s="457">
        <f t="shared" si="147"/>
        <v>2577442485</v>
      </c>
      <c r="FX87" s="457">
        <f>FX88+FX89</f>
        <v>0</v>
      </c>
      <c r="FY87" s="457"/>
      <c r="FZ87" s="457">
        <f t="shared" si="147"/>
        <v>0</v>
      </c>
      <c r="GA87" s="457">
        <f t="shared" si="147"/>
        <v>0</v>
      </c>
      <c r="GB87" s="457">
        <f t="shared" si="147"/>
        <v>0</v>
      </c>
      <c r="GC87" s="457">
        <f t="shared" si="147"/>
        <v>0</v>
      </c>
      <c r="GD87" s="457">
        <f t="shared" si="147"/>
        <v>0</v>
      </c>
      <c r="GE87" s="457">
        <f t="shared" si="147"/>
        <v>3088674000</v>
      </c>
      <c r="GF87" s="457">
        <f t="shared" si="147"/>
        <v>0</v>
      </c>
      <c r="GG87" s="457">
        <f>GG88+GG89</f>
        <v>0</v>
      </c>
      <c r="GH87" s="457">
        <f>GH88+GH89</f>
        <v>15089725500</v>
      </c>
      <c r="GI87" s="453" t="s">
        <v>272</v>
      </c>
      <c r="GJ87" s="455">
        <f>CS87/C87</f>
        <v>0.9997317373303759</v>
      </c>
      <c r="GK87" s="455">
        <f>CT87/D87</f>
        <v>0.582765889090548</v>
      </c>
      <c r="GL87" s="455">
        <f>CZ87/J87</f>
        <v>0.9729857234714077</v>
      </c>
      <c r="GM87" s="455">
        <f>EO87/AY87</f>
        <v>0.8770391672747515</v>
      </c>
      <c r="GN87" s="455">
        <f>FT87/CD87</f>
        <v>0.9999689391254571</v>
      </c>
    </row>
    <row r="88" spans="1:196" s="456" customFormat="1" ht="13.5" customHeight="1" hidden="1">
      <c r="A88" s="452"/>
      <c r="B88" s="453" t="s">
        <v>250</v>
      </c>
      <c r="C88" s="457">
        <f>D88+J88+AY88+CD88</f>
        <v>81078373285</v>
      </c>
      <c r="D88" s="457">
        <f>SUM(E88:I88)</f>
        <v>13041810000</v>
      </c>
      <c r="E88" s="457">
        <f>298468070-12000070</f>
        <v>286468000</v>
      </c>
      <c r="F88" s="457">
        <v>10095342000</v>
      </c>
      <c r="G88" s="457"/>
      <c r="H88" s="457">
        <f>2665228000-5228000</f>
        <v>2660000000</v>
      </c>
      <c r="I88" s="457"/>
      <c r="J88" s="457">
        <f>SUM(K88:AX88)</f>
        <v>0</v>
      </c>
      <c r="K88" s="457"/>
      <c r="L88" s="457"/>
      <c r="M88" s="457"/>
      <c r="N88" s="457"/>
      <c r="O88" s="457"/>
      <c r="P88" s="457"/>
      <c r="Q88" s="457"/>
      <c r="R88" s="457"/>
      <c r="S88" s="457"/>
      <c r="T88" s="457"/>
      <c r="U88" s="457"/>
      <c r="V88" s="457"/>
      <c r="W88" s="457"/>
      <c r="X88" s="457"/>
      <c r="Y88" s="457"/>
      <c r="Z88" s="457"/>
      <c r="AA88" s="457"/>
      <c r="AB88" s="457"/>
      <c r="AC88" s="457"/>
      <c r="AD88" s="457"/>
      <c r="AE88" s="457"/>
      <c r="AF88" s="457"/>
      <c r="AG88" s="457"/>
      <c r="AH88" s="457"/>
      <c r="AI88" s="457"/>
      <c r="AJ88" s="457"/>
      <c r="AK88" s="457"/>
      <c r="AL88" s="457"/>
      <c r="AM88" s="457"/>
      <c r="AN88" s="457"/>
      <c r="AO88" s="457"/>
      <c r="AP88" s="457"/>
      <c r="AQ88" s="457"/>
      <c r="AR88" s="457"/>
      <c r="AS88" s="457"/>
      <c r="AT88" s="457"/>
      <c r="AU88" s="457"/>
      <c r="AV88" s="457"/>
      <c r="AW88" s="457"/>
      <c r="AX88" s="457"/>
      <c r="AY88" s="457">
        <f>SUM(AZ88:BA88)</f>
        <v>65458944800</v>
      </c>
      <c r="AZ88" s="457">
        <f>SUM(BB88:BI88)+SUM(BQ88:BX88)</f>
        <v>65458944800</v>
      </c>
      <c r="BA88" s="457">
        <f>SUM(BJ88:BP88)+SUM(BY88:CC88)</f>
        <v>0</v>
      </c>
      <c r="BB88" s="457">
        <f>1212102000-30000</f>
        <v>1212072000</v>
      </c>
      <c r="BC88" s="457">
        <v>601506000</v>
      </c>
      <c r="BD88" s="457">
        <v>170000000</v>
      </c>
      <c r="BE88" s="457">
        <v>405000000</v>
      </c>
      <c r="BF88" s="457"/>
      <c r="BG88" s="457">
        <v>22115842000</v>
      </c>
      <c r="BH88" s="457">
        <v>3516024000</v>
      </c>
      <c r="BI88" s="457"/>
      <c r="BJ88" s="457"/>
      <c r="BK88" s="457"/>
      <c r="BL88" s="457"/>
      <c r="BM88" s="457"/>
      <c r="BN88" s="457"/>
      <c r="BO88" s="457"/>
      <c r="BP88" s="457"/>
      <c r="BQ88" s="457">
        <v>16323188000</v>
      </c>
      <c r="BR88" s="457">
        <v>13155886800</v>
      </c>
      <c r="BS88" s="457">
        <v>6243528000</v>
      </c>
      <c r="BT88" s="457">
        <v>251898000</v>
      </c>
      <c r="BU88" s="457">
        <v>135000000</v>
      </c>
      <c r="BV88" s="457">
        <v>322000000</v>
      </c>
      <c r="BW88" s="457">
        <v>1007000000</v>
      </c>
      <c r="BX88" s="457"/>
      <c r="BY88" s="457"/>
      <c r="BZ88" s="457"/>
      <c r="CA88" s="457"/>
      <c r="CB88" s="457"/>
      <c r="CC88" s="457"/>
      <c r="CD88" s="457">
        <f>SUM(CE88:CF88)</f>
        <v>2577618485</v>
      </c>
      <c r="CE88" s="457">
        <f>SUM(CG88:CI88)</f>
        <v>2577618485</v>
      </c>
      <c r="CF88" s="457">
        <f>SUM(CJ88:CQ88)</f>
        <v>0</v>
      </c>
      <c r="CG88" s="457">
        <v>2577577485</v>
      </c>
      <c r="CH88" s="457">
        <v>41000</v>
      </c>
      <c r="CI88" s="457"/>
      <c r="CJ88" s="457"/>
      <c r="CK88" s="457"/>
      <c r="CL88" s="457"/>
      <c r="CM88" s="457"/>
      <c r="CN88" s="457"/>
      <c r="CO88" s="457"/>
      <c r="CP88" s="457"/>
      <c r="CQ88" s="457"/>
      <c r="CR88" s="453" t="s">
        <v>250</v>
      </c>
      <c r="CS88" s="457">
        <f>CT88+CZ88+EO88+FT88+GH88</f>
        <v>81061169485</v>
      </c>
      <c r="CT88" s="457">
        <f>SUM(CU88:CY88)</f>
        <v>7600322000</v>
      </c>
      <c r="CU88" s="457">
        <v>23750000</v>
      </c>
      <c r="CV88" s="457">
        <v>6354672000</v>
      </c>
      <c r="CW88" s="457"/>
      <c r="CX88" s="457">
        <v>1221900000</v>
      </c>
      <c r="CY88" s="457"/>
      <c r="CZ88" s="457">
        <f>SUM(DA88:EN88)</f>
        <v>0</v>
      </c>
      <c r="DA88" s="457"/>
      <c r="DB88" s="457"/>
      <c r="DC88" s="457"/>
      <c r="DD88" s="457"/>
      <c r="DE88" s="457"/>
      <c r="DF88" s="457"/>
      <c r="DG88" s="457"/>
      <c r="DH88" s="457"/>
      <c r="DI88" s="457"/>
      <c r="DJ88" s="457"/>
      <c r="DK88" s="457"/>
      <c r="DL88" s="457"/>
      <c r="DM88" s="457"/>
      <c r="DN88" s="457"/>
      <c r="DO88" s="457"/>
      <c r="DP88" s="457"/>
      <c r="DQ88" s="457"/>
      <c r="DR88" s="457"/>
      <c r="DS88" s="457"/>
      <c r="DT88" s="457"/>
      <c r="DU88" s="457"/>
      <c r="DV88" s="457"/>
      <c r="DW88" s="457"/>
      <c r="DX88" s="457"/>
      <c r="DY88" s="457"/>
      <c r="DZ88" s="457"/>
      <c r="EA88" s="457"/>
      <c r="EB88" s="457"/>
      <c r="EC88" s="457"/>
      <c r="ED88" s="457"/>
      <c r="EE88" s="457"/>
      <c r="EF88" s="457"/>
      <c r="EG88" s="457"/>
      <c r="EH88" s="457"/>
      <c r="EI88" s="457"/>
      <c r="EJ88" s="457"/>
      <c r="EK88" s="457"/>
      <c r="EL88" s="457"/>
      <c r="EM88" s="457"/>
      <c r="EN88" s="457"/>
      <c r="EO88" s="457">
        <f>SUM(EP88:EQ88)</f>
        <v>57267182500</v>
      </c>
      <c r="EP88" s="457">
        <f>SUM(ER88:EY88)+SUM(FG88:FN88)</f>
        <v>57267182500</v>
      </c>
      <c r="EQ88" s="457">
        <f>SUM(EZ88:FF88)+SUM(FO88:FS88)</f>
        <v>0</v>
      </c>
      <c r="ER88" s="457">
        <v>996658500</v>
      </c>
      <c r="ES88" s="457">
        <v>596550000</v>
      </c>
      <c r="ET88" s="457">
        <v>170000000</v>
      </c>
      <c r="EU88" s="457">
        <v>378150000</v>
      </c>
      <c r="EV88" s="457"/>
      <c r="EW88" s="457">
        <v>19282273000</v>
      </c>
      <c r="EX88" s="457">
        <v>3202478000</v>
      </c>
      <c r="EY88" s="457"/>
      <c r="EZ88" s="457"/>
      <c r="FA88" s="457"/>
      <c r="FB88" s="457"/>
      <c r="FC88" s="457"/>
      <c r="FD88" s="457"/>
      <c r="FE88" s="457"/>
      <c r="FF88" s="457"/>
      <c r="FG88" s="457">
        <v>14988583000</v>
      </c>
      <c r="FH88" s="457">
        <v>10817348000</v>
      </c>
      <c r="FI88" s="457">
        <v>5929244000</v>
      </c>
      <c r="FJ88" s="457">
        <v>251898000</v>
      </c>
      <c r="FK88" s="457">
        <v>135000000</v>
      </c>
      <c r="FL88" s="457">
        <v>322000000</v>
      </c>
      <c r="FM88" s="457">
        <v>197000000</v>
      </c>
      <c r="FN88" s="457"/>
      <c r="FO88" s="457"/>
      <c r="FP88" s="457"/>
      <c r="FQ88" s="457"/>
      <c r="FR88" s="457"/>
      <c r="FS88" s="457"/>
      <c r="FT88" s="457">
        <f>SUM(FU88:FV88)</f>
        <v>2577442485</v>
      </c>
      <c r="FU88" s="457">
        <f>SUM(FW88:FY88)</f>
        <v>2577442485</v>
      </c>
      <c r="FV88" s="457">
        <f>SUM(FZ88:GG88)</f>
        <v>0</v>
      </c>
      <c r="FW88" s="457">
        <v>2577442485</v>
      </c>
      <c r="FX88" s="457"/>
      <c r="FY88" s="457"/>
      <c r="FZ88" s="457"/>
      <c r="GA88" s="457"/>
      <c r="GB88" s="457"/>
      <c r="GC88" s="457"/>
      <c r="GD88" s="457"/>
      <c r="GE88" s="457"/>
      <c r="GF88" s="457"/>
      <c r="GG88" s="457"/>
      <c r="GH88" s="457">
        <f>5441488000+8174734500</f>
        <v>13616222500</v>
      </c>
      <c r="GI88" s="453" t="s">
        <v>250</v>
      </c>
      <c r="GJ88" s="455">
        <f>CS88/C88</f>
        <v>0.9997878127137612</v>
      </c>
      <c r="GK88" s="455">
        <f>CT88/D88</f>
        <v>0.582765889090548</v>
      </c>
      <c r="GL88" s="455"/>
      <c r="GM88" s="455">
        <f>EO88/AY88</f>
        <v>0.8748564871458179</v>
      </c>
      <c r="GN88" s="455">
        <f>FT88/CD88</f>
        <v>0.9999317199185899</v>
      </c>
    </row>
    <row r="89" spans="1:196" s="456" customFormat="1" ht="13.5" customHeight="1" hidden="1">
      <c r="A89" s="452"/>
      <c r="B89" s="453" t="s">
        <v>251</v>
      </c>
      <c r="C89" s="457">
        <f>D89+J89+AY89+CD89</f>
        <v>59555692770</v>
      </c>
      <c r="D89" s="457">
        <f>SUM(E89:I89)</f>
        <v>0</v>
      </c>
      <c r="E89" s="457"/>
      <c r="F89" s="457"/>
      <c r="G89" s="457"/>
      <c r="H89" s="457"/>
      <c r="I89" s="457"/>
      <c r="J89" s="457">
        <f>SUM(K89:AX89)</f>
        <v>55305055770</v>
      </c>
      <c r="K89" s="457"/>
      <c r="L89" s="457"/>
      <c r="M89" s="457">
        <f>1943869000-1080000000-200659000</f>
        <v>663210000</v>
      </c>
      <c r="N89" s="457"/>
      <c r="O89" s="457"/>
      <c r="P89" s="457"/>
      <c r="Q89" s="457"/>
      <c r="R89" s="457"/>
      <c r="S89" s="457"/>
      <c r="T89" s="457">
        <v>1080000000</v>
      </c>
      <c r="U89" s="457"/>
      <c r="V89" s="457"/>
      <c r="W89" s="457"/>
      <c r="X89" s="457"/>
      <c r="Y89" s="457">
        <f>873000000+200000000-37999000</f>
        <v>1035001000</v>
      </c>
      <c r="Z89" s="457"/>
      <c r="AA89" s="457">
        <v>400000000</v>
      </c>
      <c r="AB89" s="457"/>
      <c r="AC89" s="457"/>
      <c r="AD89" s="457"/>
      <c r="AE89" s="457"/>
      <c r="AF89" s="457"/>
      <c r="AG89" s="457"/>
      <c r="AH89" s="457"/>
      <c r="AI89" s="457">
        <f>3500000000-112509000</f>
        <v>3387491000</v>
      </c>
      <c r="AJ89" s="457"/>
      <c r="AK89" s="457"/>
      <c r="AL89" s="457">
        <f>27713550000+12000070-3088674000-1279299300</f>
        <v>23357576770</v>
      </c>
      <c r="AM89" s="457">
        <f>24970932745-1162000000-755903745</f>
        <v>23053029000</v>
      </c>
      <c r="AN89" s="457"/>
      <c r="AO89" s="457"/>
      <c r="AP89" s="457"/>
      <c r="AQ89" s="457"/>
      <c r="AR89" s="457"/>
      <c r="AS89" s="457">
        <f>7601138000+5228000-200000000-5958793000</f>
        <v>1447573000</v>
      </c>
      <c r="AT89" s="457"/>
      <c r="AU89" s="457">
        <f>935425000-54250000</f>
        <v>881175000</v>
      </c>
      <c r="AV89" s="457"/>
      <c r="AW89" s="457"/>
      <c r="AX89" s="457"/>
      <c r="AY89" s="457">
        <f>SUM(AZ89:BA89)</f>
        <v>1161963000</v>
      </c>
      <c r="AZ89" s="457">
        <f>SUM(BB89:BI89)+SUM(BQ89:BX89)</f>
        <v>0</v>
      </c>
      <c r="BA89" s="457">
        <f>SUM(BJ89:BP89)+SUM(BY89:CC89)</f>
        <v>1161963000</v>
      </c>
      <c r="BB89" s="457"/>
      <c r="BC89" s="457"/>
      <c r="BD89" s="457"/>
      <c r="BE89" s="457"/>
      <c r="BF89" s="457"/>
      <c r="BG89" s="457"/>
      <c r="BH89" s="457"/>
      <c r="BI89" s="457"/>
      <c r="BJ89" s="457">
        <f>1162000000-37000</f>
        <v>1161963000</v>
      </c>
      <c r="BK89" s="457"/>
      <c r="BL89" s="457"/>
      <c r="BM89" s="457"/>
      <c r="BN89" s="457"/>
      <c r="BO89" s="457"/>
      <c r="BP89" s="457"/>
      <c r="BQ89" s="457"/>
      <c r="BR89" s="457"/>
      <c r="BS89" s="457"/>
      <c r="BT89" s="457"/>
      <c r="BU89" s="457"/>
      <c r="BV89" s="457"/>
      <c r="BW89" s="457"/>
      <c r="BX89" s="457"/>
      <c r="BY89" s="457"/>
      <c r="BZ89" s="457"/>
      <c r="CA89" s="457"/>
      <c r="CB89" s="457"/>
      <c r="CC89" s="457"/>
      <c r="CD89" s="457">
        <f>SUM(CE89:CF89)</f>
        <v>3088674000</v>
      </c>
      <c r="CE89" s="457">
        <f>SUM(CG89:CI89)</f>
        <v>0</v>
      </c>
      <c r="CF89" s="457">
        <f>SUM(CJ89:CQ89)</f>
        <v>3088674000</v>
      </c>
      <c r="CG89" s="457"/>
      <c r="CH89" s="457"/>
      <c r="CI89" s="457"/>
      <c r="CJ89" s="457"/>
      <c r="CK89" s="457"/>
      <c r="CL89" s="457"/>
      <c r="CM89" s="457"/>
      <c r="CN89" s="457"/>
      <c r="CO89" s="457">
        <f>3377292000-288618000</f>
        <v>3088674000</v>
      </c>
      <c r="CP89" s="457"/>
      <c r="CQ89" s="457"/>
      <c r="CR89" s="453" t="s">
        <v>251</v>
      </c>
      <c r="CS89" s="457">
        <f>CT89+CZ89+EO89+FT89+GH89</f>
        <v>59535169700</v>
      </c>
      <c r="CT89" s="457">
        <f>SUM(CU89:CY89)</f>
        <v>0</v>
      </c>
      <c r="CU89" s="457"/>
      <c r="CV89" s="457"/>
      <c r="CW89" s="457"/>
      <c r="CX89" s="457"/>
      <c r="CY89" s="457"/>
      <c r="CZ89" s="457">
        <f>SUM(DA89:EN89)</f>
        <v>53811029700</v>
      </c>
      <c r="DA89" s="457"/>
      <c r="DB89" s="457"/>
      <c r="DC89" s="457">
        <f>1743210000-1080000000</f>
        <v>663210000</v>
      </c>
      <c r="DD89" s="457"/>
      <c r="DE89" s="457"/>
      <c r="DF89" s="457"/>
      <c r="DG89" s="457"/>
      <c r="DH89" s="457"/>
      <c r="DI89" s="457"/>
      <c r="DJ89" s="457">
        <v>1080000000</v>
      </c>
      <c r="DK89" s="457"/>
      <c r="DL89" s="457"/>
      <c r="DM89" s="457"/>
      <c r="DN89" s="457"/>
      <c r="DO89" s="457">
        <f>835001000+200000000</f>
        <v>1035001000</v>
      </c>
      <c r="DP89" s="457"/>
      <c r="DQ89" s="457">
        <v>396705000</v>
      </c>
      <c r="DR89" s="457"/>
      <c r="DS89" s="457"/>
      <c r="DT89" s="457"/>
      <c r="DU89" s="457"/>
      <c r="DV89" s="457"/>
      <c r="DW89" s="457"/>
      <c r="DX89" s="457"/>
      <c r="DY89" s="457">
        <v>3387491000</v>
      </c>
      <c r="DZ89" s="457"/>
      <c r="EA89" s="457"/>
      <c r="EB89" s="457">
        <f>26434250700-3088674000</f>
        <v>23345576700</v>
      </c>
      <c r="EC89" s="457">
        <f>22741489000-1161963000</f>
        <v>21579526000</v>
      </c>
      <c r="ED89" s="457"/>
      <c r="EE89" s="457"/>
      <c r="EF89" s="457"/>
      <c r="EG89" s="457"/>
      <c r="EH89" s="457"/>
      <c r="EI89" s="457">
        <f>1642345000-200000000</f>
        <v>1442345000</v>
      </c>
      <c r="EJ89" s="457"/>
      <c r="EK89" s="457">
        <v>881175000</v>
      </c>
      <c r="EL89" s="457"/>
      <c r="EM89" s="457"/>
      <c r="EN89" s="457"/>
      <c r="EO89" s="457">
        <f>SUM(EP89:EQ89)</f>
        <v>1161963000</v>
      </c>
      <c r="EP89" s="457">
        <f>SUM(ER89:EY89)+SUM(FG89:FN89)</f>
        <v>0</v>
      </c>
      <c r="EQ89" s="457">
        <f>SUM(EZ89:FF89)+SUM(FO89:FS89)</f>
        <v>1161963000</v>
      </c>
      <c r="ER89" s="457"/>
      <c r="ES89" s="457"/>
      <c r="ET89" s="457"/>
      <c r="EU89" s="457"/>
      <c r="EV89" s="457"/>
      <c r="EW89" s="457"/>
      <c r="EX89" s="457"/>
      <c r="EY89" s="457"/>
      <c r="EZ89" s="457">
        <v>1161963000</v>
      </c>
      <c r="FA89" s="457"/>
      <c r="FB89" s="457"/>
      <c r="FC89" s="457"/>
      <c r="FD89" s="457"/>
      <c r="FE89" s="457"/>
      <c r="FF89" s="457"/>
      <c r="FG89" s="457"/>
      <c r="FH89" s="457"/>
      <c r="FI89" s="457"/>
      <c r="FJ89" s="457"/>
      <c r="FK89" s="457"/>
      <c r="FL89" s="457"/>
      <c r="FM89" s="457"/>
      <c r="FN89" s="457"/>
      <c r="FO89" s="457"/>
      <c r="FP89" s="457"/>
      <c r="FQ89" s="457"/>
      <c r="FR89" s="457"/>
      <c r="FS89" s="457"/>
      <c r="FT89" s="457">
        <f>SUM(FU89:FV89)</f>
        <v>3088674000</v>
      </c>
      <c r="FU89" s="457">
        <f>SUM(FW89:FY89)</f>
        <v>0</v>
      </c>
      <c r="FV89" s="457">
        <f>SUM(FZ89:GG89)</f>
        <v>3088674000</v>
      </c>
      <c r="FW89" s="457"/>
      <c r="FX89" s="457"/>
      <c r="FY89" s="457"/>
      <c r="FZ89" s="457"/>
      <c r="GA89" s="457"/>
      <c r="GB89" s="457"/>
      <c r="GC89" s="457"/>
      <c r="GD89" s="457"/>
      <c r="GE89" s="457">
        <v>3088674000</v>
      </c>
      <c r="GF89" s="457"/>
      <c r="GG89" s="457"/>
      <c r="GH89" s="457">
        <f>1473503000</f>
        <v>1473503000</v>
      </c>
      <c r="GI89" s="453" t="s">
        <v>251</v>
      </c>
      <c r="GJ89" s="455">
        <f>CS89/C89</f>
        <v>0.9996553970066429</v>
      </c>
      <c r="GK89" s="455"/>
      <c r="GL89" s="455">
        <f>CZ89/J89</f>
        <v>0.9729857234714077</v>
      </c>
      <c r="GM89" s="455">
        <f>EO89/AY89</f>
        <v>1</v>
      </c>
      <c r="GN89" s="455">
        <f>FT89/CD89</f>
        <v>1</v>
      </c>
    </row>
    <row r="90" spans="1:196" s="456" customFormat="1" ht="13.5" customHeight="1">
      <c r="A90" s="458">
        <v>26</v>
      </c>
      <c r="B90" s="459" t="s">
        <v>181</v>
      </c>
      <c r="C90" s="457">
        <f>C91+C92</f>
        <v>423887180</v>
      </c>
      <c r="D90" s="457">
        <f aca="true" t="shared" si="148" ref="D90:I90">D91+D92</f>
        <v>0</v>
      </c>
      <c r="E90" s="457">
        <f t="shared" si="148"/>
        <v>0</v>
      </c>
      <c r="F90" s="457">
        <f t="shared" si="148"/>
        <v>0</v>
      </c>
      <c r="G90" s="457">
        <f t="shared" si="148"/>
        <v>0</v>
      </c>
      <c r="H90" s="457">
        <f t="shared" si="148"/>
        <v>0</v>
      </c>
      <c r="I90" s="457">
        <f t="shared" si="148"/>
        <v>0</v>
      </c>
      <c r="J90" s="457">
        <f>J91+J92</f>
        <v>423887180</v>
      </c>
      <c r="K90" s="457">
        <f aca="true" t="shared" si="149" ref="K90:BX90">K91+K92</f>
        <v>0</v>
      </c>
      <c r="L90" s="457">
        <f t="shared" si="149"/>
        <v>0</v>
      </c>
      <c r="M90" s="457">
        <f t="shared" si="149"/>
        <v>0</v>
      </c>
      <c r="N90" s="457">
        <f t="shared" si="149"/>
        <v>0</v>
      </c>
      <c r="O90" s="457">
        <f t="shared" si="149"/>
        <v>0</v>
      </c>
      <c r="P90" s="457">
        <f t="shared" si="149"/>
        <v>0</v>
      </c>
      <c r="Q90" s="457">
        <f t="shared" si="149"/>
        <v>0</v>
      </c>
      <c r="R90" s="457">
        <f t="shared" si="149"/>
        <v>0</v>
      </c>
      <c r="S90" s="457">
        <f t="shared" si="149"/>
        <v>0</v>
      </c>
      <c r="T90" s="457">
        <f t="shared" si="149"/>
        <v>0</v>
      </c>
      <c r="U90" s="457">
        <f t="shared" si="149"/>
        <v>0</v>
      </c>
      <c r="V90" s="457">
        <f t="shared" si="149"/>
        <v>0</v>
      </c>
      <c r="W90" s="457">
        <f t="shared" si="149"/>
        <v>0</v>
      </c>
      <c r="X90" s="457">
        <f t="shared" si="149"/>
        <v>0</v>
      </c>
      <c r="Y90" s="457">
        <f t="shared" si="149"/>
        <v>0</v>
      </c>
      <c r="Z90" s="457">
        <f t="shared" si="149"/>
        <v>0</v>
      </c>
      <c r="AA90" s="457">
        <f t="shared" si="149"/>
        <v>0</v>
      </c>
      <c r="AB90" s="457">
        <f t="shared" si="149"/>
        <v>0</v>
      </c>
      <c r="AC90" s="457">
        <f t="shared" si="149"/>
        <v>0</v>
      </c>
      <c r="AD90" s="457">
        <f t="shared" si="149"/>
        <v>0</v>
      </c>
      <c r="AE90" s="457">
        <f t="shared" si="149"/>
        <v>0</v>
      </c>
      <c r="AF90" s="457">
        <f t="shared" si="149"/>
        <v>0</v>
      </c>
      <c r="AG90" s="457">
        <f>AG91+AG92</f>
        <v>0</v>
      </c>
      <c r="AH90" s="457">
        <f t="shared" si="149"/>
        <v>0</v>
      </c>
      <c r="AI90" s="457">
        <f t="shared" si="149"/>
        <v>0</v>
      </c>
      <c r="AJ90" s="457">
        <f t="shared" si="149"/>
        <v>0</v>
      </c>
      <c r="AK90" s="457">
        <f t="shared" si="149"/>
        <v>0</v>
      </c>
      <c r="AL90" s="457">
        <f t="shared" si="149"/>
        <v>0</v>
      </c>
      <c r="AM90" s="457">
        <f t="shared" si="149"/>
        <v>0</v>
      </c>
      <c r="AN90" s="457">
        <f t="shared" si="149"/>
        <v>0</v>
      </c>
      <c r="AO90" s="457">
        <f t="shared" si="149"/>
        <v>0</v>
      </c>
      <c r="AP90" s="457">
        <f t="shared" si="149"/>
        <v>0</v>
      </c>
      <c r="AQ90" s="457">
        <f t="shared" si="149"/>
        <v>0</v>
      </c>
      <c r="AR90" s="457">
        <f t="shared" si="149"/>
        <v>0</v>
      </c>
      <c r="AS90" s="457">
        <f t="shared" si="149"/>
        <v>0</v>
      </c>
      <c r="AT90" s="457">
        <f t="shared" si="149"/>
        <v>0</v>
      </c>
      <c r="AU90" s="457">
        <f t="shared" si="149"/>
        <v>0</v>
      </c>
      <c r="AV90" s="457">
        <f t="shared" si="149"/>
        <v>0</v>
      </c>
      <c r="AW90" s="457">
        <f t="shared" si="149"/>
        <v>423887180</v>
      </c>
      <c r="AX90" s="457">
        <f t="shared" si="149"/>
        <v>0</v>
      </c>
      <c r="AY90" s="457">
        <f t="shared" si="149"/>
        <v>0</v>
      </c>
      <c r="AZ90" s="457">
        <f t="shared" si="149"/>
        <v>0</v>
      </c>
      <c r="BA90" s="457">
        <f t="shared" si="149"/>
        <v>0</v>
      </c>
      <c r="BB90" s="457">
        <f t="shared" si="149"/>
        <v>0</v>
      </c>
      <c r="BC90" s="457">
        <f t="shared" si="149"/>
        <v>0</v>
      </c>
      <c r="BD90" s="457">
        <f t="shared" si="149"/>
        <v>0</v>
      </c>
      <c r="BE90" s="457">
        <f t="shared" si="149"/>
        <v>0</v>
      </c>
      <c r="BF90" s="457">
        <f t="shared" si="149"/>
        <v>0</v>
      </c>
      <c r="BG90" s="457">
        <f t="shared" si="149"/>
        <v>0</v>
      </c>
      <c r="BH90" s="457">
        <f t="shared" si="149"/>
        <v>0</v>
      </c>
      <c r="BI90" s="457">
        <f>BI91+BI92</f>
        <v>0</v>
      </c>
      <c r="BJ90" s="457">
        <f t="shared" si="149"/>
        <v>0</v>
      </c>
      <c r="BK90" s="457">
        <f t="shared" si="149"/>
        <v>0</v>
      </c>
      <c r="BL90" s="457">
        <f t="shared" si="149"/>
        <v>0</v>
      </c>
      <c r="BM90" s="457">
        <f t="shared" si="149"/>
        <v>0</v>
      </c>
      <c r="BN90" s="457">
        <f>BN91+BN92</f>
        <v>0</v>
      </c>
      <c r="BO90" s="457">
        <f t="shared" si="149"/>
        <v>0</v>
      </c>
      <c r="BP90" s="457">
        <f t="shared" si="149"/>
        <v>0</v>
      </c>
      <c r="BQ90" s="457">
        <f t="shared" si="149"/>
        <v>0</v>
      </c>
      <c r="BR90" s="457">
        <f t="shared" si="149"/>
        <v>0</v>
      </c>
      <c r="BS90" s="457">
        <f t="shared" si="149"/>
        <v>0</v>
      </c>
      <c r="BT90" s="457">
        <f t="shared" si="149"/>
        <v>0</v>
      </c>
      <c r="BU90" s="457">
        <f t="shared" si="149"/>
        <v>0</v>
      </c>
      <c r="BV90" s="457">
        <f t="shared" si="149"/>
        <v>0</v>
      </c>
      <c r="BW90" s="457">
        <f t="shared" si="149"/>
        <v>0</v>
      </c>
      <c r="BX90" s="457">
        <f t="shared" si="149"/>
        <v>0</v>
      </c>
      <c r="BY90" s="457">
        <f aca="true" t="shared" si="150" ref="BY90:EJ90">BY91+BY92</f>
        <v>0</v>
      </c>
      <c r="BZ90" s="457">
        <f t="shared" si="150"/>
        <v>0</v>
      </c>
      <c r="CA90" s="457">
        <f>CA91+CA92</f>
        <v>0</v>
      </c>
      <c r="CB90" s="457">
        <f t="shared" si="150"/>
        <v>0</v>
      </c>
      <c r="CC90" s="457">
        <f t="shared" si="150"/>
        <v>0</v>
      </c>
      <c r="CD90" s="457">
        <f t="shared" si="150"/>
        <v>0</v>
      </c>
      <c r="CE90" s="457">
        <f t="shared" si="150"/>
        <v>0</v>
      </c>
      <c r="CF90" s="457">
        <f t="shared" si="150"/>
        <v>0</v>
      </c>
      <c r="CG90" s="457">
        <f t="shared" si="150"/>
        <v>0</v>
      </c>
      <c r="CH90" s="457">
        <f t="shared" si="150"/>
        <v>0</v>
      </c>
      <c r="CI90" s="457">
        <f t="shared" si="150"/>
        <v>0</v>
      </c>
      <c r="CJ90" s="457">
        <f t="shared" si="150"/>
        <v>0</v>
      </c>
      <c r="CK90" s="457">
        <f t="shared" si="150"/>
        <v>0</v>
      </c>
      <c r="CL90" s="457">
        <f t="shared" si="150"/>
        <v>0</v>
      </c>
      <c r="CM90" s="457">
        <f t="shared" si="150"/>
        <v>0</v>
      </c>
      <c r="CN90" s="457">
        <f t="shared" si="150"/>
        <v>0</v>
      </c>
      <c r="CO90" s="457">
        <f t="shared" si="150"/>
        <v>0</v>
      </c>
      <c r="CP90" s="457">
        <f t="shared" si="150"/>
        <v>0</v>
      </c>
      <c r="CQ90" s="457">
        <f>CQ91+CQ92</f>
        <v>0</v>
      </c>
      <c r="CR90" s="457" t="s">
        <v>181</v>
      </c>
      <c r="CS90" s="457">
        <f t="shared" si="150"/>
        <v>423887180</v>
      </c>
      <c r="CT90" s="457">
        <f t="shared" si="150"/>
        <v>0</v>
      </c>
      <c r="CU90" s="457">
        <f t="shared" si="150"/>
        <v>0</v>
      </c>
      <c r="CV90" s="457">
        <f t="shared" si="150"/>
        <v>0</v>
      </c>
      <c r="CW90" s="457">
        <f t="shared" si="150"/>
        <v>0</v>
      </c>
      <c r="CX90" s="457">
        <f t="shared" si="150"/>
        <v>0</v>
      </c>
      <c r="CY90" s="457">
        <f t="shared" si="150"/>
        <v>0</v>
      </c>
      <c r="CZ90" s="457">
        <f t="shared" si="150"/>
        <v>423887180</v>
      </c>
      <c r="DA90" s="457">
        <f t="shared" si="150"/>
        <v>0</v>
      </c>
      <c r="DB90" s="457">
        <f t="shared" si="150"/>
        <v>0</v>
      </c>
      <c r="DC90" s="457">
        <f t="shared" si="150"/>
        <v>0</v>
      </c>
      <c r="DD90" s="457">
        <f t="shared" si="150"/>
        <v>0</v>
      </c>
      <c r="DE90" s="457">
        <f t="shared" si="150"/>
        <v>0</v>
      </c>
      <c r="DF90" s="457">
        <f t="shared" si="150"/>
        <v>0</v>
      </c>
      <c r="DG90" s="457">
        <f t="shared" si="150"/>
        <v>0</v>
      </c>
      <c r="DH90" s="457">
        <f t="shared" si="150"/>
        <v>0</v>
      </c>
      <c r="DI90" s="457">
        <f t="shared" si="150"/>
        <v>0</v>
      </c>
      <c r="DJ90" s="457">
        <f t="shared" si="150"/>
        <v>0</v>
      </c>
      <c r="DK90" s="457">
        <f t="shared" si="150"/>
        <v>0</v>
      </c>
      <c r="DL90" s="457">
        <f t="shared" si="150"/>
        <v>0</v>
      </c>
      <c r="DM90" s="457">
        <f t="shared" si="150"/>
        <v>0</v>
      </c>
      <c r="DN90" s="457">
        <f t="shared" si="150"/>
        <v>0</v>
      </c>
      <c r="DO90" s="457">
        <f t="shared" si="150"/>
        <v>0</v>
      </c>
      <c r="DP90" s="457">
        <f t="shared" si="150"/>
        <v>0</v>
      </c>
      <c r="DQ90" s="457">
        <f t="shared" si="150"/>
        <v>0</v>
      </c>
      <c r="DR90" s="457">
        <f t="shared" si="150"/>
        <v>0</v>
      </c>
      <c r="DS90" s="457">
        <f t="shared" si="150"/>
        <v>0</v>
      </c>
      <c r="DT90" s="457">
        <f t="shared" si="150"/>
        <v>0</v>
      </c>
      <c r="DU90" s="457">
        <f t="shared" si="150"/>
        <v>0</v>
      </c>
      <c r="DV90" s="457">
        <f t="shared" si="150"/>
        <v>0</v>
      </c>
      <c r="DW90" s="457">
        <f>DW91+DW92</f>
        <v>0</v>
      </c>
      <c r="DX90" s="457">
        <f t="shared" si="150"/>
        <v>0</v>
      </c>
      <c r="DY90" s="457">
        <f t="shared" si="150"/>
        <v>0</v>
      </c>
      <c r="DZ90" s="457">
        <f t="shared" si="150"/>
        <v>0</v>
      </c>
      <c r="EA90" s="457">
        <f t="shared" si="150"/>
        <v>0</v>
      </c>
      <c r="EB90" s="457">
        <f t="shared" si="150"/>
        <v>0</v>
      </c>
      <c r="EC90" s="457">
        <f t="shared" si="150"/>
        <v>0</v>
      </c>
      <c r="ED90" s="457">
        <f t="shared" si="150"/>
        <v>0</v>
      </c>
      <c r="EE90" s="457">
        <f t="shared" si="150"/>
        <v>0</v>
      </c>
      <c r="EF90" s="457">
        <f t="shared" si="150"/>
        <v>0</v>
      </c>
      <c r="EG90" s="457">
        <f t="shared" si="150"/>
        <v>0</v>
      </c>
      <c r="EH90" s="457">
        <f t="shared" si="150"/>
        <v>0</v>
      </c>
      <c r="EI90" s="457">
        <f t="shared" si="150"/>
        <v>0</v>
      </c>
      <c r="EJ90" s="457">
        <f t="shared" si="150"/>
        <v>0</v>
      </c>
      <c r="EK90" s="457">
        <f aca="true" t="shared" si="151" ref="EK90:GF90">EK91+EK92</f>
        <v>0</v>
      </c>
      <c r="EL90" s="457">
        <f t="shared" si="151"/>
        <v>0</v>
      </c>
      <c r="EM90" s="457">
        <f t="shared" si="151"/>
        <v>423887180</v>
      </c>
      <c r="EN90" s="457">
        <f t="shared" si="151"/>
        <v>0</v>
      </c>
      <c r="EO90" s="457">
        <f t="shared" si="151"/>
        <v>0</v>
      </c>
      <c r="EP90" s="457">
        <f t="shared" si="151"/>
        <v>0</v>
      </c>
      <c r="EQ90" s="457">
        <f t="shared" si="151"/>
        <v>0</v>
      </c>
      <c r="ER90" s="457">
        <f t="shared" si="151"/>
        <v>0</v>
      </c>
      <c r="ES90" s="457">
        <f t="shared" si="151"/>
        <v>0</v>
      </c>
      <c r="ET90" s="457">
        <f t="shared" si="151"/>
        <v>0</v>
      </c>
      <c r="EU90" s="457">
        <f t="shared" si="151"/>
        <v>0</v>
      </c>
      <c r="EV90" s="457">
        <f t="shared" si="151"/>
        <v>0</v>
      </c>
      <c r="EW90" s="457">
        <f t="shared" si="151"/>
        <v>0</v>
      </c>
      <c r="EX90" s="457">
        <f t="shared" si="151"/>
        <v>0</v>
      </c>
      <c r="EY90" s="457">
        <f>EY91+EY92</f>
        <v>0</v>
      </c>
      <c r="EZ90" s="457">
        <f t="shared" si="151"/>
        <v>0</v>
      </c>
      <c r="FA90" s="457">
        <f t="shared" si="151"/>
        <v>0</v>
      </c>
      <c r="FB90" s="457">
        <f t="shared" si="151"/>
        <v>0</v>
      </c>
      <c r="FC90" s="457">
        <f t="shared" si="151"/>
        <v>0</v>
      </c>
      <c r="FD90" s="457">
        <f>FD91+FD92</f>
        <v>0</v>
      </c>
      <c r="FE90" s="457">
        <f t="shared" si="151"/>
        <v>0</v>
      </c>
      <c r="FF90" s="457">
        <f t="shared" si="151"/>
        <v>0</v>
      </c>
      <c r="FG90" s="457">
        <f t="shared" si="151"/>
        <v>0</v>
      </c>
      <c r="FH90" s="457">
        <f t="shared" si="151"/>
        <v>0</v>
      </c>
      <c r="FI90" s="457">
        <f t="shared" si="151"/>
        <v>0</v>
      </c>
      <c r="FJ90" s="457">
        <f t="shared" si="151"/>
        <v>0</v>
      </c>
      <c r="FK90" s="457">
        <f t="shared" si="151"/>
        <v>0</v>
      </c>
      <c r="FL90" s="457">
        <f t="shared" si="151"/>
        <v>0</v>
      </c>
      <c r="FM90" s="457">
        <f t="shared" si="151"/>
        <v>0</v>
      </c>
      <c r="FN90" s="457">
        <f t="shared" si="151"/>
        <v>0</v>
      </c>
      <c r="FO90" s="457">
        <f t="shared" si="151"/>
        <v>0</v>
      </c>
      <c r="FP90" s="457">
        <f t="shared" si="151"/>
        <v>0</v>
      </c>
      <c r="FQ90" s="457">
        <f>FQ91+FQ92</f>
        <v>0</v>
      </c>
      <c r="FR90" s="457">
        <f t="shared" si="151"/>
        <v>0</v>
      </c>
      <c r="FS90" s="457">
        <f t="shared" si="151"/>
        <v>0</v>
      </c>
      <c r="FT90" s="457">
        <f t="shared" si="151"/>
        <v>0</v>
      </c>
      <c r="FU90" s="457">
        <f t="shared" si="151"/>
        <v>0</v>
      </c>
      <c r="FV90" s="457">
        <f t="shared" si="151"/>
        <v>0</v>
      </c>
      <c r="FW90" s="457">
        <f t="shared" si="151"/>
        <v>0</v>
      </c>
      <c r="FX90" s="457">
        <f t="shared" si="151"/>
        <v>0</v>
      </c>
      <c r="FY90" s="457">
        <f t="shared" si="151"/>
        <v>0</v>
      </c>
      <c r="FZ90" s="457">
        <f t="shared" si="151"/>
        <v>0</v>
      </c>
      <c r="GA90" s="457">
        <f t="shared" si="151"/>
        <v>0</v>
      </c>
      <c r="GB90" s="457">
        <f t="shared" si="151"/>
        <v>0</v>
      </c>
      <c r="GC90" s="457">
        <f t="shared" si="151"/>
        <v>0</v>
      </c>
      <c r="GD90" s="457">
        <f t="shared" si="151"/>
        <v>0</v>
      </c>
      <c r="GE90" s="457">
        <f t="shared" si="151"/>
        <v>0</v>
      </c>
      <c r="GF90" s="457">
        <f t="shared" si="151"/>
        <v>0</v>
      </c>
      <c r="GG90" s="457">
        <f>GG91+GG92</f>
        <v>0</v>
      </c>
      <c r="GH90" s="457">
        <f>GH91+GH92</f>
        <v>0</v>
      </c>
      <c r="GI90" s="457" t="s">
        <v>181</v>
      </c>
      <c r="GJ90" s="455">
        <f>CS90/C90</f>
        <v>1</v>
      </c>
      <c r="GK90" s="455"/>
      <c r="GL90" s="455">
        <f>CZ90/J90</f>
        <v>1</v>
      </c>
      <c r="GM90" s="455"/>
      <c r="GN90" s="455"/>
    </row>
    <row r="91" spans="1:196" s="456" customFormat="1" ht="13.5" customHeight="1" hidden="1">
      <c r="A91" s="458"/>
      <c r="B91" s="453" t="s">
        <v>250</v>
      </c>
      <c r="C91" s="457">
        <f>D91+J91+AY91+CD91</f>
        <v>0</v>
      </c>
      <c r="D91" s="457">
        <f>SUM(E91:I91)</f>
        <v>0</v>
      </c>
      <c r="E91" s="460"/>
      <c r="F91" s="460"/>
      <c r="G91" s="460"/>
      <c r="H91" s="460"/>
      <c r="I91" s="460"/>
      <c r="J91" s="457">
        <f>SUM(K91:AX91)</f>
        <v>0</v>
      </c>
      <c r="K91" s="460"/>
      <c r="L91" s="460"/>
      <c r="M91" s="460"/>
      <c r="N91" s="460"/>
      <c r="O91" s="460"/>
      <c r="P91" s="460"/>
      <c r="Q91" s="460"/>
      <c r="R91" s="460"/>
      <c r="S91" s="460"/>
      <c r="T91" s="460"/>
      <c r="U91" s="460"/>
      <c r="V91" s="460"/>
      <c r="W91" s="460"/>
      <c r="X91" s="460"/>
      <c r="Y91" s="460"/>
      <c r="Z91" s="460"/>
      <c r="AA91" s="460"/>
      <c r="AB91" s="460"/>
      <c r="AC91" s="460"/>
      <c r="AD91" s="460"/>
      <c r="AE91" s="460"/>
      <c r="AF91" s="460"/>
      <c r="AG91" s="460"/>
      <c r="AH91" s="460"/>
      <c r="AI91" s="460"/>
      <c r="AJ91" s="460"/>
      <c r="AK91" s="460"/>
      <c r="AL91" s="460"/>
      <c r="AM91" s="460"/>
      <c r="AN91" s="460"/>
      <c r="AO91" s="460"/>
      <c r="AP91" s="460"/>
      <c r="AQ91" s="460"/>
      <c r="AR91" s="460"/>
      <c r="AS91" s="460"/>
      <c r="AT91" s="460"/>
      <c r="AU91" s="460"/>
      <c r="AV91" s="460"/>
      <c r="AW91" s="460"/>
      <c r="AX91" s="460"/>
      <c r="AY91" s="457">
        <f>SUM(AZ91:BA91)</f>
        <v>0</v>
      </c>
      <c r="AZ91" s="457">
        <f>SUM(BB91:BI91)+SUM(BQ91:BX91)</f>
        <v>0</v>
      </c>
      <c r="BA91" s="457">
        <f>SUM(BJ91:BP91)+SUM(BY91:CC91)</f>
        <v>0</v>
      </c>
      <c r="BB91" s="460"/>
      <c r="BC91" s="460"/>
      <c r="BD91" s="460"/>
      <c r="BE91" s="460"/>
      <c r="BF91" s="460"/>
      <c r="BG91" s="460"/>
      <c r="BH91" s="460"/>
      <c r="BI91" s="460"/>
      <c r="BJ91" s="460"/>
      <c r="BK91" s="460"/>
      <c r="BL91" s="460"/>
      <c r="BM91" s="460"/>
      <c r="BN91" s="460"/>
      <c r="BO91" s="460"/>
      <c r="BP91" s="460"/>
      <c r="BQ91" s="460"/>
      <c r="BR91" s="460"/>
      <c r="BS91" s="460"/>
      <c r="BT91" s="460"/>
      <c r="BU91" s="460"/>
      <c r="BV91" s="460"/>
      <c r="BW91" s="460"/>
      <c r="BX91" s="460"/>
      <c r="BY91" s="460"/>
      <c r="BZ91" s="460"/>
      <c r="CA91" s="460"/>
      <c r="CB91" s="460"/>
      <c r="CC91" s="460"/>
      <c r="CD91" s="457">
        <f>SUM(CE91:CF91)</f>
        <v>0</v>
      </c>
      <c r="CE91" s="457">
        <f>SUM(CG91:CI91)</f>
        <v>0</v>
      </c>
      <c r="CF91" s="457">
        <f>SUM(CJ91:CQ91)</f>
        <v>0</v>
      </c>
      <c r="CG91" s="460"/>
      <c r="CH91" s="460"/>
      <c r="CI91" s="460"/>
      <c r="CJ91" s="460"/>
      <c r="CK91" s="460"/>
      <c r="CL91" s="460"/>
      <c r="CM91" s="460"/>
      <c r="CN91" s="460"/>
      <c r="CO91" s="460"/>
      <c r="CP91" s="460"/>
      <c r="CQ91" s="460"/>
      <c r="CR91" s="453" t="s">
        <v>250</v>
      </c>
      <c r="CS91" s="457">
        <f>CT91+CZ91+EO91+FT91+GH91</f>
        <v>0</v>
      </c>
      <c r="CT91" s="457">
        <f>SUM(CU91:CY91)</f>
        <v>0</v>
      </c>
      <c r="CU91" s="460"/>
      <c r="CV91" s="460"/>
      <c r="CW91" s="460"/>
      <c r="CX91" s="460"/>
      <c r="CY91" s="460"/>
      <c r="CZ91" s="457">
        <f>SUM(DA91:EN91)</f>
        <v>0</v>
      </c>
      <c r="DA91" s="460"/>
      <c r="DB91" s="460"/>
      <c r="DC91" s="460"/>
      <c r="DD91" s="460"/>
      <c r="DE91" s="460"/>
      <c r="DF91" s="460"/>
      <c r="DG91" s="460"/>
      <c r="DH91" s="460"/>
      <c r="DI91" s="460"/>
      <c r="DJ91" s="460"/>
      <c r="DK91" s="460"/>
      <c r="DL91" s="460"/>
      <c r="DM91" s="460"/>
      <c r="DN91" s="460"/>
      <c r="DO91" s="460"/>
      <c r="DP91" s="460"/>
      <c r="DQ91" s="460"/>
      <c r="DR91" s="460"/>
      <c r="DS91" s="460"/>
      <c r="DT91" s="460"/>
      <c r="DU91" s="460"/>
      <c r="DV91" s="460"/>
      <c r="DW91" s="460"/>
      <c r="DX91" s="460"/>
      <c r="DY91" s="460"/>
      <c r="DZ91" s="460"/>
      <c r="EA91" s="460"/>
      <c r="EB91" s="460"/>
      <c r="EC91" s="460"/>
      <c r="ED91" s="460"/>
      <c r="EE91" s="460"/>
      <c r="EF91" s="460"/>
      <c r="EG91" s="460"/>
      <c r="EH91" s="460"/>
      <c r="EI91" s="460"/>
      <c r="EJ91" s="460"/>
      <c r="EK91" s="460"/>
      <c r="EL91" s="460"/>
      <c r="EM91" s="460"/>
      <c r="EN91" s="460"/>
      <c r="EO91" s="457">
        <f>SUM(EP91:EQ91)</f>
        <v>0</v>
      </c>
      <c r="EP91" s="457">
        <f>SUM(ER91:EY91)+SUM(FG91:FN91)</f>
        <v>0</v>
      </c>
      <c r="EQ91" s="457">
        <f>SUM(EZ91:FF91)+SUM(FO91:FS91)</f>
        <v>0</v>
      </c>
      <c r="ER91" s="460"/>
      <c r="ES91" s="460"/>
      <c r="ET91" s="460"/>
      <c r="EU91" s="460"/>
      <c r="EV91" s="460"/>
      <c r="EW91" s="460"/>
      <c r="EX91" s="460"/>
      <c r="EY91" s="460"/>
      <c r="EZ91" s="460"/>
      <c r="FA91" s="460"/>
      <c r="FB91" s="460"/>
      <c r="FC91" s="460"/>
      <c r="FD91" s="460"/>
      <c r="FE91" s="460"/>
      <c r="FF91" s="460"/>
      <c r="FG91" s="460"/>
      <c r="FH91" s="460"/>
      <c r="FI91" s="460"/>
      <c r="FJ91" s="460"/>
      <c r="FK91" s="460"/>
      <c r="FL91" s="460"/>
      <c r="FM91" s="460"/>
      <c r="FN91" s="460"/>
      <c r="FO91" s="460"/>
      <c r="FP91" s="460"/>
      <c r="FQ91" s="460"/>
      <c r="FR91" s="460"/>
      <c r="FS91" s="460"/>
      <c r="FT91" s="457">
        <f>SUM(FU91:FV91)</f>
        <v>0</v>
      </c>
      <c r="FU91" s="457">
        <f>SUM(FW91:FY91)</f>
        <v>0</v>
      </c>
      <c r="FV91" s="457">
        <f>SUM(FZ91:GG91)</f>
        <v>0</v>
      </c>
      <c r="FW91" s="460"/>
      <c r="FX91" s="460"/>
      <c r="FY91" s="460"/>
      <c r="FZ91" s="460"/>
      <c r="GA91" s="460"/>
      <c r="GB91" s="460"/>
      <c r="GC91" s="460"/>
      <c r="GD91" s="460"/>
      <c r="GE91" s="460"/>
      <c r="GF91" s="460"/>
      <c r="GG91" s="460"/>
      <c r="GH91" s="460"/>
      <c r="GI91" s="453" t="s">
        <v>250</v>
      </c>
      <c r="GJ91" s="455"/>
      <c r="GK91" s="455"/>
      <c r="GL91" s="455"/>
      <c r="GM91" s="455"/>
      <c r="GN91" s="455"/>
    </row>
    <row r="92" spans="1:196" s="456" customFormat="1" ht="13.5" customHeight="1" hidden="1">
      <c r="A92" s="458"/>
      <c r="B92" s="453" t="s">
        <v>251</v>
      </c>
      <c r="C92" s="457">
        <f>D92+J92+AY92+CD92</f>
        <v>423887180</v>
      </c>
      <c r="D92" s="457">
        <f>SUM(E92:I92)</f>
        <v>0</v>
      </c>
      <c r="E92" s="460"/>
      <c r="F92" s="460"/>
      <c r="G92" s="460"/>
      <c r="H92" s="460"/>
      <c r="I92" s="460"/>
      <c r="J92" s="457">
        <f>SUM(K92:AX92)</f>
        <v>423887180</v>
      </c>
      <c r="K92" s="460"/>
      <c r="L92" s="460"/>
      <c r="M92" s="460"/>
      <c r="N92" s="460"/>
      <c r="O92" s="460"/>
      <c r="P92" s="460"/>
      <c r="Q92" s="460"/>
      <c r="R92" s="460"/>
      <c r="S92" s="460"/>
      <c r="T92" s="460"/>
      <c r="U92" s="460"/>
      <c r="V92" s="460"/>
      <c r="W92" s="460"/>
      <c r="X92" s="460"/>
      <c r="Y92" s="460"/>
      <c r="Z92" s="460"/>
      <c r="AA92" s="460"/>
      <c r="AB92" s="460"/>
      <c r="AC92" s="460"/>
      <c r="AD92" s="460"/>
      <c r="AE92" s="460"/>
      <c r="AF92" s="460"/>
      <c r="AG92" s="460"/>
      <c r="AH92" s="460"/>
      <c r="AI92" s="460"/>
      <c r="AJ92" s="460"/>
      <c r="AK92" s="460"/>
      <c r="AL92" s="460"/>
      <c r="AM92" s="460"/>
      <c r="AN92" s="460"/>
      <c r="AO92" s="460"/>
      <c r="AP92" s="460"/>
      <c r="AQ92" s="460"/>
      <c r="AR92" s="460"/>
      <c r="AS92" s="460"/>
      <c r="AT92" s="460"/>
      <c r="AU92" s="460"/>
      <c r="AV92" s="460"/>
      <c r="AW92" s="460">
        <f>420000000+3887180</f>
        <v>423887180</v>
      </c>
      <c r="AX92" s="460"/>
      <c r="AY92" s="457">
        <f>SUM(AZ92:BA92)</f>
        <v>0</v>
      </c>
      <c r="AZ92" s="457">
        <f>SUM(BB92:BI92)+SUM(BQ92:BX92)</f>
        <v>0</v>
      </c>
      <c r="BA92" s="457">
        <f>SUM(BJ92:BP92)+SUM(BY92:CC92)</f>
        <v>0</v>
      </c>
      <c r="BB92" s="460"/>
      <c r="BC92" s="460"/>
      <c r="BD92" s="460"/>
      <c r="BE92" s="460"/>
      <c r="BF92" s="460"/>
      <c r="BG92" s="460"/>
      <c r="BH92" s="460"/>
      <c r="BI92" s="460"/>
      <c r="BJ92" s="460"/>
      <c r="BK92" s="460"/>
      <c r="BL92" s="460"/>
      <c r="BM92" s="460"/>
      <c r="BN92" s="460"/>
      <c r="BO92" s="460"/>
      <c r="BP92" s="460"/>
      <c r="BQ92" s="460"/>
      <c r="BR92" s="460"/>
      <c r="BS92" s="460"/>
      <c r="BT92" s="460"/>
      <c r="BU92" s="460"/>
      <c r="BV92" s="460"/>
      <c r="BW92" s="460"/>
      <c r="BX92" s="460"/>
      <c r="BY92" s="460"/>
      <c r="BZ92" s="460"/>
      <c r="CA92" s="460"/>
      <c r="CB92" s="460"/>
      <c r="CC92" s="460"/>
      <c r="CD92" s="457">
        <f>SUM(CE92:CF92)</f>
        <v>0</v>
      </c>
      <c r="CE92" s="457">
        <f>SUM(CG92:CI92)</f>
        <v>0</v>
      </c>
      <c r="CF92" s="457">
        <f>SUM(CJ92:CQ92)</f>
        <v>0</v>
      </c>
      <c r="CG92" s="460"/>
      <c r="CH92" s="460"/>
      <c r="CI92" s="460"/>
      <c r="CJ92" s="460"/>
      <c r="CK92" s="460"/>
      <c r="CL92" s="460"/>
      <c r="CM92" s="460"/>
      <c r="CN92" s="460"/>
      <c r="CO92" s="460"/>
      <c r="CP92" s="460"/>
      <c r="CQ92" s="460"/>
      <c r="CR92" s="453" t="s">
        <v>251</v>
      </c>
      <c r="CS92" s="457">
        <f>CT92+CZ92+EO92+FT92+GH92</f>
        <v>423887180</v>
      </c>
      <c r="CT92" s="457">
        <f>SUM(CU92:CY92)</f>
        <v>0</v>
      </c>
      <c r="CU92" s="460"/>
      <c r="CV92" s="460"/>
      <c r="CW92" s="460"/>
      <c r="CX92" s="460"/>
      <c r="CY92" s="460"/>
      <c r="CZ92" s="457">
        <f>SUM(DA92:EN92)</f>
        <v>423887180</v>
      </c>
      <c r="DA92" s="460"/>
      <c r="DB92" s="460"/>
      <c r="DC92" s="460"/>
      <c r="DD92" s="460"/>
      <c r="DE92" s="460"/>
      <c r="DF92" s="460"/>
      <c r="DG92" s="460"/>
      <c r="DH92" s="460"/>
      <c r="DI92" s="460"/>
      <c r="DJ92" s="460"/>
      <c r="DK92" s="460"/>
      <c r="DL92" s="460"/>
      <c r="DM92" s="460"/>
      <c r="DN92" s="460"/>
      <c r="DO92" s="460"/>
      <c r="DP92" s="460"/>
      <c r="DQ92" s="460"/>
      <c r="DR92" s="460"/>
      <c r="DS92" s="460"/>
      <c r="DT92" s="460"/>
      <c r="DU92" s="460"/>
      <c r="DV92" s="460"/>
      <c r="DW92" s="460"/>
      <c r="DX92" s="460"/>
      <c r="DY92" s="460"/>
      <c r="DZ92" s="460"/>
      <c r="EA92" s="460"/>
      <c r="EB92" s="460"/>
      <c r="EC92" s="460"/>
      <c r="ED92" s="460"/>
      <c r="EE92" s="460"/>
      <c r="EF92" s="460"/>
      <c r="EG92" s="460"/>
      <c r="EH92" s="460"/>
      <c r="EI92" s="460"/>
      <c r="EJ92" s="460"/>
      <c r="EK92" s="460"/>
      <c r="EL92" s="460"/>
      <c r="EM92" s="460">
        <f>420000000+3887180</f>
        <v>423887180</v>
      </c>
      <c r="EN92" s="460"/>
      <c r="EO92" s="457">
        <f>SUM(EP92:EQ92)</f>
        <v>0</v>
      </c>
      <c r="EP92" s="457">
        <f>SUM(ER92:EY92)+SUM(FG92:FN92)</f>
        <v>0</v>
      </c>
      <c r="EQ92" s="457">
        <f>SUM(EZ92:FF92)+SUM(FO92:FS92)</f>
        <v>0</v>
      </c>
      <c r="ER92" s="460"/>
      <c r="ES92" s="460"/>
      <c r="ET92" s="460"/>
      <c r="EU92" s="460"/>
      <c r="EV92" s="460"/>
      <c r="EW92" s="460"/>
      <c r="EX92" s="460"/>
      <c r="EY92" s="460"/>
      <c r="EZ92" s="460"/>
      <c r="FA92" s="460"/>
      <c r="FB92" s="460"/>
      <c r="FC92" s="460"/>
      <c r="FD92" s="460"/>
      <c r="FE92" s="460"/>
      <c r="FF92" s="460"/>
      <c r="FG92" s="460"/>
      <c r="FH92" s="460"/>
      <c r="FI92" s="460"/>
      <c r="FJ92" s="460"/>
      <c r="FK92" s="460"/>
      <c r="FL92" s="460"/>
      <c r="FM92" s="460"/>
      <c r="FN92" s="460"/>
      <c r="FO92" s="460"/>
      <c r="FP92" s="460"/>
      <c r="FQ92" s="460"/>
      <c r="FR92" s="460"/>
      <c r="FS92" s="460"/>
      <c r="FT92" s="457">
        <f>SUM(FU92:FV92)</f>
        <v>0</v>
      </c>
      <c r="FU92" s="457">
        <f>SUM(FW92:FY92)</f>
        <v>0</v>
      </c>
      <c r="FV92" s="457">
        <f>SUM(FZ92:GG92)</f>
        <v>0</v>
      </c>
      <c r="FW92" s="460"/>
      <c r="FX92" s="460"/>
      <c r="FY92" s="460"/>
      <c r="FZ92" s="460"/>
      <c r="GA92" s="460"/>
      <c r="GB92" s="460"/>
      <c r="GC92" s="460"/>
      <c r="GD92" s="460"/>
      <c r="GE92" s="460"/>
      <c r="GF92" s="460"/>
      <c r="GG92" s="460"/>
      <c r="GH92" s="460"/>
      <c r="GI92" s="453" t="s">
        <v>251</v>
      </c>
      <c r="GJ92" s="455">
        <f>CS92/C92</f>
        <v>1</v>
      </c>
      <c r="GK92" s="455"/>
      <c r="GL92" s="455">
        <f>CZ92/J92</f>
        <v>1</v>
      </c>
      <c r="GM92" s="455"/>
      <c r="GN92" s="455"/>
    </row>
    <row r="93" spans="1:196" s="456" customFormat="1" ht="13.5" customHeight="1">
      <c r="A93" s="452">
        <v>27</v>
      </c>
      <c r="B93" s="453" t="s">
        <v>273</v>
      </c>
      <c r="C93" s="457">
        <f>C94+C95</f>
        <v>7882661919</v>
      </c>
      <c r="D93" s="457">
        <f aca="true" t="shared" si="152" ref="D93:BO93">D94+D95</f>
        <v>0</v>
      </c>
      <c r="E93" s="457">
        <f t="shared" si="152"/>
        <v>0</v>
      </c>
      <c r="F93" s="457">
        <f t="shared" si="152"/>
        <v>0</v>
      </c>
      <c r="G93" s="457">
        <f t="shared" si="152"/>
        <v>0</v>
      </c>
      <c r="H93" s="457">
        <f t="shared" si="152"/>
        <v>0</v>
      </c>
      <c r="I93" s="457">
        <f t="shared" si="152"/>
        <v>0</v>
      </c>
      <c r="J93" s="457">
        <f t="shared" si="152"/>
        <v>7882661919</v>
      </c>
      <c r="K93" s="457">
        <f t="shared" si="152"/>
        <v>0</v>
      </c>
      <c r="L93" s="457">
        <f t="shared" si="152"/>
        <v>0</v>
      </c>
      <c r="M93" s="457">
        <f t="shared" si="152"/>
        <v>0</v>
      </c>
      <c r="N93" s="457">
        <f t="shared" si="152"/>
        <v>0</v>
      </c>
      <c r="O93" s="457">
        <f t="shared" si="152"/>
        <v>0</v>
      </c>
      <c r="P93" s="457">
        <f t="shared" si="152"/>
        <v>0</v>
      </c>
      <c r="Q93" s="457">
        <f t="shared" si="152"/>
        <v>0</v>
      </c>
      <c r="R93" s="457">
        <f t="shared" si="152"/>
        <v>0</v>
      </c>
      <c r="S93" s="457">
        <f t="shared" si="152"/>
        <v>0</v>
      </c>
      <c r="T93" s="457">
        <f t="shared" si="152"/>
        <v>0</v>
      </c>
      <c r="U93" s="457">
        <f t="shared" si="152"/>
        <v>0</v>
      </c>
      <c r="V93" s="457">
        <f t="shared" si="152"/>
        <v>0</v>
      </c>
      <c r="W93" s="457">
        <f t="shared" si="152"/>
        <v>0</v>
      </c>
      <c r="X93" s="457">
        <f t="shared" si="152"/>
        <v>0</v>
      </c>
      <c r="Y93" s="457">
        <f t="shared" si="152"/>
        <v>0</v>
      </c>
      <c r="Z93" s="457">
        <f t="shared" si="152"/>
        <v>0</v>
      </c>
      <c r="AA93" s="457">
        <f t="shared" si="152"/>
        <v>0</v>
      </c>
      <c r="AB93" s="457">
        <f t="shared" si="152"/>
        <v>7832143000</v>
      </c>
      <c r="AC93" s="457">
        <f t="shared" si="152"/>
        <v>0</v>
      </c>
      <c r="AD93" s="457">
        <f t="shared" si="152"/>
        <v>0</v>
      </c>
      <c r="AE93" s="457">
        <f t="shared" si="152"/>
        <v>0</v>
      </c>
      <c r="AF93" s="457">
        <f t="shared" si="152"/>
        <v>0</v>
      </c>
      <c r="AG93" s="457">
        <f>AG94+AG95</f>
        <v>50518919</v>
      </c>
      <c r="AH93" s="457">
        <f t="shared" si="152"/>
        <v>0</v>
      </c>
      <c r="AI93" s="457">
        <f t="shared" si="152"/>
        <v>0</v>
      </c>
      <c r="AJ93" s="457">
        <f t="shared" si="152"/>
        <v>0</v>
      </c>
      <c r="AK93" s="457">
        <f t="shared" si="152"/>
        <v>0</v>
      </c>
      <c r="AL93" s="457">
        <f t="shared" si="152"/>
        <v>0</v>
      </c>
      <c r="AM93" s="457">
        <f t="shared" si="152"/>
        <v>0</v>
      </c>
      <c r="AN93" s="457">
        <f t="shared" si="152"/>
        <v>0</v>
      </c>
      <c r="AO93" s="457">
        <f t="shared" si="152"/>
        <v>0</v>
      </c>
      <c r="AP93" s="457">
        <f t="shared" si="152"/>
        <v>0</v>
      </c>
      <c r="AQ93" s="457">
        <f t="shared" si="152"/>
        <v>0</v>
      </c>
      <c r="AR93" s="457">
        <f t="shared" si="152"/>
        <v>0</v>
      </c>
      <c r="AS93" s="457">
        <f t="shared" si="152"/>
        <v>0</v>
      </c>
      <c r="AT93" s="457">
        <f t="shared" si="152"/>
        <v>0</v>
      </c>
      <c r="AU93" s="457">
        <f t="shared" si="152"/>
        <v>0</v>
      </c>
      <c r="AV93" s="457">
        <f t="shared" si="152"/>
        <v>0</v>
      </c>
      <c r="AW93" s="457">
        <f t="shared" si="152"/>
        <v>0</v>
      </c>
      <c r="AX93" s="457">
        <f t="shared" si="152"/>
        <v>0</v>
      </c>
      <c r="AY93" s="457">
        <f t="shared" si="152"/>
        <v>0</v>
      </c>
      <c r="AZ93" s="457">
        <f t="shared" si="152"/>
        <v>0</v>
      </c>
      <c r="BA93" s="457">
        <f t="shared" si="152"/>
        <v>0</v>
      </c>
      <c r="BB93" s="457">
        <f t="shared" si="152"/>
        <v>0</v>
      </c>
      <c r="BC93" s="457">
        <f t="shared" si="152"/>
        <v>0</v>
      </c>
      <c r="BD93" s="457">
        <f t="shared" si="152"/>
        <v>0</v>
      </c>
      <c r="BE93" s="457">
        <f t="shared" si="152"/>
        <v>0</v>
      </c>
      <c r="BF93" s="457">
        <f t="shared" si="152"/>
        <v>0</v>
      </c>
      <c r="BG93" s="457">
        <f t="shared" si="152"/>
        <v>0</v>
      </c>
      <c r="BH93" s="457">
        <f t="shared" si="152"/>
        <v>0</v>
      </c>
      <c r="BI93" s="457">
        <f t="shared" si="152"/>
        <v>0</v>
      </c>
      <c r="BJ93" s="457">
        <f t="shared" si="152"/>
        <v>0</v>
      </c>
      <c r="BK93" s="457">
        <f t="shared" si="152"/>
        <v>0</v>
      </c>
      <c r="BL93" s="457">
        <f t="shared" si="152"/>
        <v>0</v>
      </c>
      <c r="BM93" s="457">
        <f t="shared" si="152"/>
        <v>0</v>
      </c>
      <c r="BN93" s="457">
        <f t="shared" si="152"/>
        <v>0</v>
      </c>
      <c r="BO93" s="457">
        <f t="shared" si="152"/>
        <v>0</v>
      </c>
      <c r="BP93" s="457">
        <f aca="true" t="shared" si="153" ref="BP93:CQ93">BP94+BP95</f>
        <v>0</v>
      </c>
      <c r="BQ93" s="457">
        <f t="shared" si="153"/>
        <v>0</v>
      </c>
      <c r="BR93" s="457">
        <f t="shared" si="153"/>
        <v>0</v>
      </c>
      <c r="BS93" s="457">
        <f t="shared" si="153"/>
        <v>0</v>
      </c>
      <c r="BT93" s="457">
        <f t="shared" si="153"/>
        <v>0</v>
      </c>
      <c r="BU93" s="457">
        <f t="shared" si="153"/>
        <v>0</v>
      </c>
      <c r="BV93" s="457">
        <f t="shared" si="153"/>
        <v>0</v>
      </c>
      <c r="BW93" s="457">
        <f t="shared" si="153"/>
        <v>0</v>
      </c>
      <c r="BX93" s="457">
        <f t="shared" si="153"/>
        <v>0</v>
      </c>
      <c r="BY93" s="457">
        <f t="shared" si="153"/>
        <v>0</v>
      </c>
      <c r="BZ93" s="457">
        <f t="shared" si="153"/>
        <v>0</v>
      </c>
      <c r="CA93" s="457">
        <f>CA94+CA95</f>
        <v>0</v>
      </c>
      <c r="CB93" s="457">
        <f t="shared" si="153"/>
        <v>0</v>
      </c>
      <c r="CC93" s="457">
        <f t="shared" si="153"/>
        <v>0</v>
      </c>
      <c r="CD93" s="457">
        <f t="shared" si="153"/>
        <v>0</v>
      </c>
      <c r="CE93" s="457">
        <f t="shared" si="153"/>
        <v>0</v>
      </c>
      <c r="CF93" s="457">
        <f t="shared" si="153"/>
        <v>0</v>
      </c>
      <c r="CG93" s="457">
        <f t="shared" si="153"/>
        <v>0</v>
      </c>
      <c r="CH93" s="457">
        <f t="shared" si="153"/>
        <v>0</v>
      </c>
      <c r="CI93" s="457">
        <f t="shared" si="153"/>
        <v>0</v>
      </c>
      <c r="CJ93" s="457">
        <f t="shared" si="153"/>
        <v>0</v>
      </c>
      <c r="CK93" s="457">
        <f t="shared" si="153"/>
        <v>0</v>
      </c>
      <c r="CL93" s="457">
        <f t="shared" si="153"/>
        <v>0</v>
      </c>
      <c r="CM93" s="457">
        <f t="shared" si="153"/>
        <v>0</v>
      </c>
      <c r="CN93" s="457">
        <f t="shared" si="153"/>
        <v>0</v>
      </c>
      <c r="CO93" s="457">
        <f t="shared" si="153"/>
        <v>0</v>
      </c>
      <c r="CP93" s="457">
        <f t="shared" si="153"/>
        <v>0</v>
      </c>
      <c r="CQ93" s="457">
        <f t="shared" si="153"/>
        <v>0</v>
      </c>
      <c r="CR93" s="457" t="s">
        <v>273</v>
      </c>
      <c r="CS93" s="457">
        <f>CS94+CS95</f>
        <v>7882661919</v>
      </c>
      <c r="CT93" s="457">
        <f aca="true" t="shared" si="154" ref="CT93:DX93">CT94+CT95</f>
        <v>0</v>
      </c>
      <c r="CU93" s="457">
        <f t="shared" si="154"/>
        <v>0</v>
      </c>
      <c r="CV93" s="457">
        <f t="shared" si="154"/>
        <v>0</v>
      </c>
      <c r="CW93" s="457">
        <f t="shared" si="154"/>
        <v>0</v>
      </c>
      <c r="CX93" s="457">
        <f t="shared" si="154"/>
        <v>0</v>
      </c>
      <c r="CY93" s="457">
        <f t="shared" si="154"/>
        <v>0</v>
      </c>
      <c r="CZ93" s="457">
        <f>CZ94+CZ95</f>
        <v>7305752919</v>
      </c>
      <c r="DA93" s="457">
        <f t="shared" si="154"/>
        <v>0</v>
      </c>
      <c r="DB93" s="457">
        <f t="shared" si="154"/>
        <v>0</v>
      </c>
      <c r="DC93" s="457">
        <f t="shared" si="154"/>
        <v>0</v>
      </c>
      <c r="DD93" s="457">
        <f t="shared" si="154"/>
        <v>0</v>
      </c>
      <c r="DE93" s="457">
        <f t="shared" si="154"/>
        <v>0</v>
      </c>
      <c r="DF93" s="457">
        <f t="shared" si="154"/>
        <v>0</v>
      </c>
      <c r="DG93" s="457">
        <f t="shared" si="154"/>
        <v>0</v>
      </c>
      <c r="DH93" s="457">
        <f t="shared" si="154"/>
        <v>0</v>
      </c>
      <c r="DI93" s="457">
        <f t="shared" si="154"/>
        <v>0</v>
      </c>
      <c r="DJ93" s="457">
        <f t="shared" si="154"/>
        <v>0</v>
      </c>
      <c r="DK93" s="457">
        <f t="shared" si="154"/>
        <v>0</v>
      </c>
      <c r="DL93" s="457">
        <f t="shared" si="154"/>
        <v>0</v>
      </c>
      <c r="DM93" s="457">
        <f t="shared" si="154"/>
        <v>0</v>
      </c>
      <c r="DN93" s="457">
        <f t="shared" si="154"/>
        <v>0</v>
      </c>
      <c r="DO93" s="457">
        <f t="shared" si="154"/>
        <v>0</v>
      </c>
      <c r="DP93" s="457">
        <f t="shared" si="154"/>
        <v>0</v>
      </c>
      <c r="DQ93" s="457">
        <f t="shared" si="154"/>
        <v>0</v>
      </c>
      <c r="DR93" s="457">
        <f t="shared" si="154"/>
        <v>7255234000</v>
      </c>
      <c r="DS93" s="457">
        <f t="shared" si="154"/>
        <v>0</v>
      </c>
      <c r="DT93" s="457">
        <f t="shared" si="154"/>
        <v>0</v>
      </c>
      <c r="DU93" s="457">
        <f t="shared" si="154"/>
        <v>0</v>
      </c>
      <c r="DV93" s="457">
        <f t="shared" si="154"/>
        <v>0</v>
      </c>
      <c r="DW93" s="457">
        <f>DW94+DW95</f>
        <v>50518919</v>
      </c>
      <c r="DX93" s="457">
        <f t="shared" si="154"/>
        <v>0</v>
      </c>
      <c r="DY93" s="457">
        <f aca="true" t="shared" si="155" ref="DY93:FF93">DY94+DY95</f>
        <v>0</v>
      </c>
      <c r="DZ93" s="457">
        <f t="shared" si="155"/>
        <v>0</v>
      </c>
      <c r="EA93" s="457">
        <f t="shared" si="155"/>
        <v>0</v>
      </c>
      <c r="EB93" s="457">
        <f t="shared" si="155"/>
        <v>0</v>
      </c>
      <c r="EC93" s="457">
        <f t="shared" si="155"/>
        <v>0</v>
      </c>
      <c r="ED93" s="457">
        <f t="shared" si="155"/>
        <v>0</v>
      </c>
      <c r="EE93" s="457">
        <f t="shared" si="155"/>
        <v>0</v>
      </c>
      <c r="EF93" s="457">
        <f t="shared" si="155"/>
        <v>0</v>
      </c>
      <c r="EG93" s="457">
        <f t="shared" si="155"/>
        <v>0</v>
      </c>
      <c r="EH93" s="457">
        <f t="shared" si="155"/>
        <v>0</v>
      </c>
      <c r="EI93" s="457">
        <f t="shared" si="155"/>
        <v>0</v>
      </c>
      <c r="EJ93" s="457">
        <f t="shared" si="155"/>
        <v>0</v>
      </c>
      <c r="EK93" s="457">
        <f t="shared" si="155"/>
        <v>0</v>
      </c>
      <c r="EL93" s="457">
        <f t="shared" si="155"/>
        <v>0</v>
      </c>
      <c r="EM93" s="457">
        <f t="shared" si="155"/>
        <v>0</v>
      </c>
      <c r="EN93" s="457">
        <f t="shared" si="155"/>
        <v>0</v>
      </c>
      <c r="EO93" s="457">
        <f t="shared" si="155"/>
        <v>0</v>
      </c>
      <c r="EP93" s="457">
        <f t="shared" si="155"/>
        <v>0</v>
      </c>
      <c r="EQ93" s="457">
        <f t="shared" si="155"/>
        <v>0</v>
      </c>
      <c r="ER93" s="457">
        <f t="shared" si="155"/>
        <v>0</v>
      </c>
      <c r="ES93" s="457">
        <f t="shared" si="155"/>
        <v>0</v>
      </c>
      <c r="ET93" s="457">
        <f t="shared" si="155"/>
        <v>0</v>
      </c>
      <c r="EU93" s="457">
        <f t="shared" si="155"/>
        <v>0</v>
      </c>
      <c r="EV93" s="457">
        <f t="shared" si="155"/>
        <v>0</v>
      </c>
      <c r="EW93" s="457">
        <f t="shared" si="155"/>
        <v>0</v>
      </c>
      <c r="EX93" s="457">
        <f t="shared" si="155"/>
        <v>0</v>
      </c>
      <c r="EY93" s="457">
        <f>EY94+EY95</f>
        <v>0</v>
      </c>
      <c r="EZ93" s="457">
        <f t="shared" si="155"/>
        <v>0</v>
      </c>
      <c r="FA93" s="457">
        <f t="shared" si="155"/>
        <v>0</v>
      </c>
      <c r="FB93" s="457">
        <f t="shared" si="155"/>
        <v>0</v>
      </c>
      <c r="FC93" s="457">
        <f t="shared" si="155"/>
        <v>0</v>
      </c>
      <c r="FD93" s="457">
        <f>FD94+FD95</f>
        <v>0</v>
      </c>
      <c r="FE93" s="457">
        <f t="shared" si="155"/>
        <v>0</v>
      </c>
      <c r="FF93" s="457">
        <f t="shared" si="155"/>
        <v>0</v>
      </c>
      <c r="FG93" s="457">
        <f aca="true" t="shared" si="156" ref="FG93:GF93">FG94+FG95</f>
        <v>0</v>
      </c>
      <c r="FH93" s="457">
        <f t="shared" si="156"/>
        <v>0</v>
      </c>
      <c r="FI93" s="457">
        <f t="shared" si="156"/>
        <v>0</v>
      </c>
      <c r="FJ93" s="457">
        <f t="shared" si="156"/>
        <v>0</v>
      </c>
      <c r="FK93" s="457">
        <f t="shared" si="156"/>
        <v>0</v>
      </c>
      <c r="FL93" s="457">
        <f t="shared" si="156"/>
        <v>0</v>
      </c>
      <c r="FM93" s="457">
        <f t="shared" si="156"/>
        <v>0</v>
      </c>
      <c r="FN93" s="457">
        <f t="shared" si="156"/>
        <v>0</v>
      </c>
      <c r="FO93" s="457">
        <f t="shared" si="156"/>
        <v>0</v>
      </c>
      <c r="FP93" s="457">
        <f t="shared" si="156"/>
        <v>0</v>
      </c>
      <c r="FQ93" s="457">
        <f>FQ94+FQ95</f>
        <v>0</v>
      </c>
      <c r="FR93" s="457">
        <f t="shared" si="156"/>
        <v>0</v>
      </c>
      <c r="FS93" s="457">
        <f t="shared" si="156"/>
        <v>0</v>
      </c>
      <c r="FT93" s="457">
        <f t="shared" si="156"/>
        <v>0</v>
      </c>
      <c r="FU93" s="457">
        <f t="shared" si="156"/>
        <v>0</v>
      </c>
      <c r="FV93" s="457">
        <f t="shared" si="156"/>
        <v>0</v>
      </c>
      <c r="FW93" s="457">
        <f t="shared" si="156"/>
        <v>0</v>
      </c>
      <c r="FX93" s="457">
        <f t="shared" si="156"/>
        <v>0</v>
      </c>
      <c r="FY93" s="457">
        <f t="shared" si="156"/>
        <v>0</v>
      </c>
      <c r="FZ93" s="457">
        <f t="shared" si="156"/>
        <v>0</v>
      </c>
      <c r="GA93" s="457">
        <f t="shared" si="156"/>
        <v>0</v>
      </c>
      <c r="GB93" s="457">
        <f t="shared" si="156"/>
        <v>0</v>
      </c>
      <c r="GC93" s="457">
        <f t="shared" si="156"/>
        <v>0</v>
      </c>
      <c r="GD93" s="457">
        <f t="shared" si="156"/>
        <v>0</v>
      </c>
      <c r="GE93" s="457">
        <f t="shared" si="156"/>
        <v>0</v>
      </c>
      <c r="GF93" s="457">
        <f t="shared" si="156"/>
        <v>0</v>
      </c>
      <c r="GG93" s="457">
        <f>GG94+GG95</f>
        <v>0</v>
      </c>
      <c r="GH93" s="457">
        <f>GH94+GH95</f>
        <v>576909000</v>
      </c>
      <c r="GI93" s="457" t="s">
        <v>273</v>
      </c>
      <c r="GJ93" s="455">
        <f>CS93/C93</f>
        <v>1</v>
      </c>
      <c r="GK93" s="455"/>
      <c r="GL93" s="455">
        <f>CZ93/J93</f>
        <v>0.9268129210756273</v>
      </c>
      <c r="GM93" s="455"/>
      <c r="GN93" s="455"/>
    </row>
    <row r="94" spans="1:196" s="456" customFormat="1" ht="13.5" customHeight="1" hidden="1">
      <c r="A94" s="458"/>
      <c r="B94" s="453" t="s">
        <v>250</v>
      </c>
      <c r="C94" s="457">
        <f>D94+J94+AY94+CD94</f>
        <v>0</v>
      </c>
      <c r="D94" s="457">
        <f>SUM(E94:I94)</f>
        <v>0</v>
      </c>
      <c r="E94" s="457"/>
      <c r="F94" s="457"/>
      <c r="G94" s="457"/>
      <c r="H94" s="457"/>
      <c r="I94" s="457"/>
      <c r="J94" s="457">
        <f>SUM(K94:AX94)</f>
        <v>0</v>
      </c>
      <c r="K94" s="457"/>
      <c r="L94" s="457"/>
      <c r="M94" s="457"/>
      <c r="N94" s="457"/>
      <c r="O94" s="457"/>
      <c r="P94" s="457"/>
      <c r="Q94" s="457"/>
      <c r="R94" s="457"/>
      <c r="S94" s="457"/>
      <c r="T94" s="457"/>
      <c r="U94" s="457"/>
      <c r="V94" s="457"/>
      <c r="W94" s="457"/>
      <c r="X94" s="457"/>
      <c r="Y94" s="457"/>
      <c r="Z94" s="457"/>
      <c r="AA94" s="457"/>
      <c r="AB94" s="457"/>
      <c r="AC94" s="457"/>
      <c r="AD94" s="457"/>
      <c r="AE94" s="457"/>
      <c r="AF94" s="457"/>
      <c r="AG94" s="457"/>
      <c r="AH94" s="457"/>
      <c r="AI94" s="457"/>
      <c r="AJ94" s="457"/>
      <c r="AK94" s="457"/>
      <c r="AL94" s="457"/>
      <c r="AM94" s="457"/>
      <c r="AN94" s="457"/>
      <c r="AO94" s="457"/>
      <c r="AP94" s="457"/>
      <c r="AQ94" s="457"/>
      <c r="AR94" s="457"/>
      <c r="AS94" s="457"/>
      <c r="AT94" s="457"/>
      <c r="AU94" s="457"/>
      <c r="AV94" s="457"/>
      <c r="AW94" s="457"/>
      <c r="AX94" s="457"/>
      <c r="AY94" s="457">
        <f>SUM(AZ94:BA94)</f>
        <v>0</v>
      </c>
      <c r="AZ94" s="457">
        <f>SUM(BB94:BI94)+SUM(BQ94:BX94)</f>
        <v>0</v>
      </c>
      <c r="BA94" s="457">
        <f>SUM(BJ94:BP94)+SUM(BY94:CC94)</f>
        <v>0</v>
      </c>
      <c r="BB94" s="457"/>
      <c r="BC94" s="457"/>
      <c r="BD94" s="457"/>
      <c r="BE94" s="457"/>
      <c r="BF94" s="457"/>
      <c r="BG94" s="457"/>
      <c r="BH94" s="457"/>
      <c r="BI94" s="457"/>
      <c r="BJ94" s="457"/>
      <c r="BK94" s="457"/>
      <c r="BL94" s="457"/>
      <c r="BM94" s="457"/>
      <c r="BN94" s="457"/>
      <c r="BO94" s="457"/>
      <c r="BP94" s="457"/>
      <c r="BQ94" s="457"/>
      <c r="BR94" s="457"/>
      <c r="BS94" s="457"/>
      <c r="BT94" s="457"/>
      <c r="BU94" s="457"/>
      <c r="BV94" s="457"/>
      <c r="BW94" s="457"/>
      <c r="BX94" s="457"/>
      <c r="BY94" s="457"/>
      <c r="BZ94" s="457"/>
      <c r="CA94" s="457"/>
      <c r="CB94" s="457"/>
      <c r="CC94" s="457"/>
      <c r="CD94" s="457">
        <f>SUM(CE94:CF94)</f>
        <v>0</v>
      </c>
      <c r="CE94" s="457">
        <f>SUM(CG94:CI94)</f>
        <v>0</v>
      </c>
      <c r="CF94" s="457">
        <f>SUM(CJ94:CQ94)</f>
        <v>0</v>
      </c>
      <c r="CG94" s="457"/>
      <c r="CH94" s="457"/>
      <c r="CI94" s="457"/>
      <c r="CJ94" s="457"/>
      <c r="CK94" s="457"/>
      <c r="CL94" s="457"/>
      <c r="CM94" s="457"/>
      <c r="CN94" s="457"/>
      <c r="CO94" s="457"/>
      <c r="CP94" s="457"/>
      <c r="CQ94" s="457"/>
      <c r="CR94" s="453" t="s">
        <v>250</v>
      </c>
      <c r="CS94" s="457">
        <f>CT94+CZ94+EO94+FT94+GH94</f>
        <v>0</v>
      </c>
      <c r="CT94" s="457">
        <f>SUM(CU94:CY94)</f>
        <v>0</v>
      </c>
      <c r="CU94" s="457"/>
      <c r="CV94" s="457"/>
      <c r="CW94" s="457"/>
      <c r="CX94" s="457"/>
      <c r="CY94" s="457"/>
      <c r="CZ94" s="457">
        <f>SUM(DA94:EN94)</f>
        <v>0</v>
      </c>
      <c r="DA94" s="457"/>
      <c r="DB94" s="457"/>
      <c r="DC94" s="457"/>
      <c r="DD94" s="457"/>
      <c r="DE94" s="457"/>
      <c r="DF94" s="457"/>
      <c r="DG94" s="457"/>
      <c r="DH94" s="457"/>
      <c r="DI94" s="457"/>
      <c r="DJ94" s="457"/>
      <c r="DK94" s="457"/>
      <c r="DL94" s="457"/>
      <c r="DM94" s="457"/>
      <c r="DN94" s="457"/>
      <c r="DO94" s="457"/>
      <c r="DP94" s="457"/>
      <c r="DQ94" s="457"/>
      <c r="DR94" s="457"/>
      <c r="DS94" s="457"/>
      <c r="DT94" s="457"/>
      <c r="DU94" s="457"/>
      <c r="DV94" s="457"/>
      <c r="DW94" s="457"/>
      <c r="DX94" s="457"/>
      <c r="DY94" s="457"/>
      <c r="DZ94" s="457"/>
      <c r="EA94" s="457"/>
      <c r="EB94" s="457"/>
      <c r="EC94" s="457"/>
      <c r="ED94" s="457"/>
      <c r="EE94" s="457"/>
      <c r="EF94" s="457"/>
      <c r="EG94" s="457"/>
      <c r="EH94" s="457"/>
      <c r="EI94" s="457"/>
      <c r="EJ94" s="457"/>
      <c r="EK94" s="457"/>
      <c r="EL94" s="457"/>
      <c r="EM94" s="457"/>
      <c r="EN94" s="457"/>
      <c r="EO94" s="457">
        <f>SUM(EP94:EQ94)</f>
        <v>0</v>
      </c>
      <c r="EP94" s="457">
        <f>SUM(ER94:EY94)+SUM(FG94:FN94)</f>
        <v>0</v>
      </c>
      <c r="EQ94" s="457">
        <f>SUM(EZ94:FF94)+SUM(FO94:FS94)</f>
        <v>0</v>
      </c>
      <c r="ER94" s="457"/>
      <c r="ES94" s="457"/>
      <c r="ET94" s="457"/>
      <c r="EU94" s="457"/>
      <c r="EV94" s="457"/>
      <c r="EW94" s="457"/>
      <c r="EX94" s="457"/>
      <c r="EY94" s="457"/>
      <c r="EZ94" s="457"/>
      <c r="FA94" s="457"/>
      <c r="FB94" s="457"/>
      <c r="FC94" s="457"/>
      <c r="FD94" s="457"/>
      <c r="FE94" s="457"/>
      <c r="FF94" s="457"/>
      <c r="FG94" s="457"/>
      <c r="FH94" s="457"/>
      <c r="FI94" s="457"/>
      <c r="FJ94" s="457"/>
      <c r="FK94" s="457"/>
      <c r="FL94" s="457"/>
      <c r="FM94" s="457"/>
      <c r="FN94" s="457"/>
      <c r="FO94" s="457"/>
      <c r="FP94" s="457"/>
      <c r="FQ94" s="457"/>
      <c r="FR94" s="457"/>
      <c r="FS94" s="457"/>
      <c r="FT94" s="457">
        <f>SUM(FU94:FV94)</f>
        <v>0</v>
      </c>
      <c r="FU94" s="457">
        <f>SUM(FW94:FY94)</f>
        <v>0</v>
      </c>
      <c r="FV94" s="457">
        <f>SUM(FZ94:GG94)</f>
        <v>0</v>
      </c>
      <c r="FW94" s="457"/>
      <c r="FX94" s="457"/>
      <c r="FY94" s="457"/>
      <c r="FZ94" s="457"/>
      <c r="GA94" s="457"/>
      <c r="GB94" s="457"/>
      <c r="GC94" s="457"/>
      <c r="GD94" s="457"/>
      <c r="GE94" s="457"/>
      <c r="GF94" s="457"/>
      <c r="GG94" s="457"/>
      <c r="GH94" s="457"/>
      <c r="GI94" s="453" t="s">
        <v>250</v>
      </c>
      <c r="GJ94" s="455"/>
      <c r="GK94" s="455"/>
      <c r="GL94" s="455"/>
      <c r="GM94" s="455"/>
      <c r="GN94" s="455"/>
    </row>
    <row r="95" spans="1:196" s="456" customFormat="1" ht="13.5" customHeight="1" hidden="1">
      <c r="A95" s="458"/>
      <c r="B95" s="453" t="s">
        <v>251</v>
      </c>
      <c r="C95" s="457">
        <f>D95+J95+AY95+CD95</f>
        <v>7882661919</v>
      </c>
      <c r="D95" s="457">
        <f>SUM(E95:I95)</f>
        <v>0</v>
      </c>
      <c r="E95" s="457"/>
      <c r="F95" s="457"/>
      <c r="G95" s="457"/>
      <c r="H95" s="457"/>
      <c r="I95" s="457"/>
      <c r="J95" s="457">
        <f>SUM(K95:AX95)</f>
        <v>7882661919</v>
      </c>
      <c r="K95" s="457"/>
      <c r="L95" s="457"/>
      <c r="M95" s="457"/>
      <c r="N95" s="457"/>
      <c r="O95" s="457"/>
      <c r="P95" s="457"/>
      <c r="Q95" s="457"/>
      <c r="R95" s="457"/>
      <c r="S95" s="457"/>
      <c r="T95" s="457"/>
      <c r="U95" s="457"/>
      <c r="V95" s="457"/>
      <c r="W95" s="457"/>
      <c r="X95" s="457"/>
      <c r="Y95" s="457"/>
      <c r="Z95" s="457"/>
      <c r="AA95" s="457"/>
      <c r="AB95" s="457">
        <v>7832143000</v>
      </c>
      <c r="AC95" s="457"/>
      <c r="AD95" s="457"/>
      <c r="AE95" s="457"/>
      <c r="AF95" s="457"/>
      <c r="AG95" s="457">
        <v>50518919</v>
      </c>
      <c r="AH95" s="457"/>
      <c r="AI95" s="457"/>
      <c r="AJ95" s="457"/>
      <c r="AK95" s="457"/>
      <c r="AL95" s="457"/>
      <c r="AM95" s="457"/>
      <c r="AN95" s="457"/>
      <c r="AO95" s="457"/>
      <c r="AP95" s="457"/>
      <c r="AQ95" s="457"/>
      <c r="AR95" s="457"/>
      <c r="AS95" s="457"/>
      <c r="AT95" s="457"/>
      <c r="AU95" s="457"/>
      <c r="AV95" s="457"/>
      <c r="AW95" s="457"/>
      <c r="AX95" s="457"/>
      <c r="AY95" s="457">
        <f>SUM(AZ95:BA95)</f>
        <v>0</v>
      </c>
      <c r="AZ95" s="457">
        <f>SUM(BB95:BI95)+SUM(BQ95:BX95)</f>
        <v>0</v>
      </c>
      <c r="BA95" s="457">
        <f>SUM(BJ95:BP95)+SUM(BY95:CC95)</f>
        <v>0</v>
      </c>
      <c r="BB95" s="457"/>
      <c r="BC95" s="457"/>
      <c r="BD95" s="457"/>
      <c r="BE95" s="457"/>
      <c r="BF95" s="457"/>
      <c r="BG95" s="457"/>
      <c r="BH95" s="457"/>
      <c r="BI95" s="457"/>
      <c r="BJ95" s="457"/>
      <c r="BK95" s="457"/>
      <c r="BL95" s="457"/>
      <c r="BM95" s="457"/>
      <c r="BN95" s="457"/>
      <c r="BO95" s="457"/>
      <c r="BP95" s="457"/>
      <c r="BQ95" s="457"/>
      <c r="BR95" s="457"/>
      <c r="BS95" s="457"/>
      <c r="BT95" s="457"/>
      <c r="BU95" s="457"/>
      <c r="BV95" s="457"/>
      <c r="BW95" s="457"/>
      <c r="BX95" s="457"/>
      <c r="BY95" s="457"/>
      <c r="BZ95" s="457"/>
      <c r="CA95" s="457"/>
      <c r="CB95" s="457"/>
      <c r="CC95" s="457"/>
      <c r="CD95" s="457">
        <f>SUM(CE95:CF95)</f>
        <v>0</v>
      </c>
      <c r="CE95" s="457">
        <f>SUM(CG95:CI95)</f>
        <v>0</v>
      </c>
      <c r="CF95" s="457">
        <f>SUM(CJ95:CQ95)</f>
        <v>0</v>
      </c>
      <c r="CG95" s="457"/>
      <c r="CH95" s="457"/>
      <c r="CI95" s="457"/>
      <c r="CJ95" s="457"/>
      <c r="CK95" s="457"/>
      <c r="CL95" s="457"/>
      <c r="CM95" s="457"/>
      <c r="CN95" s="457"/>
      <c r="CO95" s="457"/>
      <c r="CP95" s="457"/>
      <c r="CQ95" s="457"/>
      <c r="CR95" s="453" t="s">
        <v>251</v>
      </c>
      <c r="CS95" s="457">
        <f>CT95+CZ95+EO95+FT95+GH95</f>
        <v>7882661919</v>
      </c>
      <c r="CT95" s="457">
        <f>SUM(CU95:CY95)</f>
        <v>0</v>
      </c>
      <c r="CU95" s="457"/>
      <c r="CV95" s="457"/>
      <c r="CW95" s="457"/>
      <c r="CX95" s="457"/>
      <c r="CY95" s="457"/>
      <c r="CZ95" s="457">
        <f>SUM(DA95:EN95)</f>
        <v>7305752919</v>
      </c>
      <c r="DA95" s="457"/>
      <c r="DB95" s="457"/>
      <c r="DC95" s="457"/>
      <c r="DD95" s="457"/>
      <c r="DE95" s="457"/>
      <c r="DF95" s="457"/>
      <c r="DG95" s="457"/>
      <c r="DH95" s="457"/>
      <c r="DI95" s="457"/>
      <c r="DJ95" s="457"/>
      <c r="DK95" s="457"/>
      <c r="DL95" s="457"/>
      <c r="DM95" s="457"/>
      <c r="DN95" s="457"/>
      <c r="DO95" s="457"/>
      <c r="DP95" s="457"/>
      <c r="DQ95" s="457"/>
      <c r="DR95" s="457">
        <v>7255234000</v>
      </c>
      <c r="DS95" s="457"/>
      <c r="DT95" s="457"/>
      <c r="DU95" s="457"/>
      <c r="DV95" s="457"/>
      <c r="DW95" s="457">
        <v>50518919</v>
      </c>
      <c r="DX95" s="457"/>
      <c r="DY95" s="457"/>
      <c r="DZ95" s="457"/>
      <c r="EA95" s="457"/>
      <c r="EB95" s="457"/>
      <c r="EC95" s="457"/>
      <c r="ED95" s="457"/>
      <c r="EE95" s="457"/>
      <c r="EF95" s="457"/>
      <c r="EG95" s="457"/>
      <c r="EH95" s="457"/>
      <c r="EI95" s="457"/>
      <c r="EJ95" s="457"/>
      <c r="EK95" s="457"/>
      <c r="EL95" s="457"/>
      <c r="EM95" s="457"/>
      <c r="EN95" s="457"/>
      <c r="EO95" s="457">
        <f>SUM(EP95:EQ95)</f>
        <v>0</v>
      </c>
      <c r="EP95" s="457">
        <f>SUM(ER95:EY95)+SUM(FG95:FN95)</f>
        <v>0</v>
      </c>
      <c r="EQ95" s="457">
        <f>SUM(EZ95:FF95)+SUM(FO95:FS95)</f>
        <v>0</v>
      </c>
      <c r="ER95" s="457"/>
      <c r="ES95" s="457"/>
      <c r="ET95" s="457"/>
      <c r="EU95" s="457"/>
      <c r="EV95" s="457"/>
      <c r="EW95" s="457"/>
      <c r="EX95" s="457"/>
      <c r="EY95" s="457"/>
      <c r="EZ95" s="457"/>
      <c r="FA95" s="457"/>
      <c r="FB95" s="457"/>
      <c r="FC95" s="457"/>
      <c r="FD95" s="457"/>
      <c r="FE95" s="457"/>
      <c r="FF95" s="457"/>
      <c r="FG95" s="457"/>
      <c r="FH95" s="457"/>
      <c r="FI95" s="457"/>
      <c r="FJ95" s="457"/>
      <c r="FK95" s="457"/>
      <c r="FL95" s="457"/>
      <c r="FM95" s="457"/>
      <c r="FN95" s="457"/>
      <c r="FO95" s="457"/>
      <c r="FP95" s="457"/>
      <c r="FQ95" s="457"/>
      <c r="FR95" s="457"/>
      <c r="FS95" s="457"/>
      <c r="FT95" s="457">
        <f>SUM(FU95:FV95)</f>
        <v>0</v>
      </c>
      <c r="FU95" s="457">
        <f>SUM(FW95:FY95)</f>
        <v>0</v>
      </c>
      <c r="FV95" s="457">
        <f>SUM(FZ95:GG95)</f>
        <v>0</v>
      </c>
      <c r="FW95" s="457"/>
      <c r="FX95" s="457"/>
      <c r="FY95" s="457"/>
      <c r="FZ95" s="457"/>
      <c r="GA95" s="457"/>
      <c r="GB95" s="457"/>
      <c r="GC95" s="457"/>
      <c r="GD95" s="457"/>
      <c r="GE95" s="457"/>
      <c r="GF95" s="457"/>
      <c r="GG95" s="457"/>
      <c r="GH95" s="457">
        <v>576909000</v>
      </c>
      <c r="GI95" s="453" t="s">
        <v>251</v>
      </c>
      <c r="GJ95" s="455">
        <v>0.96794881118434</v>
      </c>
      <c r="GK95" s="455"/>
      <c r="GL95" s="455">
        <v>0.96794881118434</v>
      </c>
      <c r="GM95" s="455"/>
      <c r="GN95" s="455"/>
    </row>
    <row r="96" spans="1:196" s="456" customFormat="1" ht="13.5" customHeight="1">
      <c r="A96" s="458">
        <v>28</v>
      </c>
      <c r="B96" s="453" t="s">
        <v>274</v>
      </c>
      <c r="C96" s="457">
        <f aca="true" t="shared" si="157" ref="C96:H96">C97+C98</f>
        <v>5574053860</v>
      </c>
      <c r="D96" s="457">
        <f t="shared" si="157"/>
        <v>0</v>
      </c>
      <c r="E96" s="457">
        <f t="shared" si="157"/>
        <v>0</v>
      </c>
      <c r="F96" s="457">
        <f t="shared" si="157"/>
        <v>0</v>
      </c>
      <c r="G96" s="457">
        <f t="shared" si="157"/>
        <v>0</v>
      </c>
      <c r="H96" s="457">
        <f t="shared" si="157"/>
        <v>0</v>
      </c>
      <c r="I96" s="457">
        <f aca="true" t="shared" si="158" ref="I96:BY96">I97+I98</f>
        <v>0</v>
      </c>
      <c r="J96" s="457">
        <f>J97+J98</f>
        <v>0</v>
      </c>
      <c r="K96" s="457">
        <f t="shared" si="158"/>
        <v>0</v>
      </c>
      <c r="L96" s="457">
        <f>L97+L98</f>
        <v>0</v>
      </c>
      <c r="M96" s="457">
        <f t="shared" si="158"/>
        <v>0</v>
      </c>
      <c r="N96" s="457">
        <f t="shared" si="158"/>
        <v>0</v>
      </c>
      <c r="O96" s="457">
        <f t="shared" si="158"/>
        <v>0</v>
      </c>
      <c r="P96" s="457">
        <f t="shared" si="158"/>
        <v>0</v>
      </c>
      <c r="Q96" s="457">
        <f t="shared" si="158"/>
        <v>0</v>
      </c>
      <c r="R96" s="457">
        <f t="shared" si="158"/>
        <v>0</v>
      </c>
      <c r="S96" s="457">
        <f>S97+S98</f>
        <v>0</v>
      </c>
      <c r="T96" s="457">
        <f t="shared" si="158"/>
        <v>0</v>
      </c>
      <c r="U96" s="457">
        <f t="shared" si="158"/>
        <v>0</v>
      </c>
      <c r="V96" s="457">
        <f>V97+V98</f>
        <v>0</v>
      </c>
      <c r="W96" s="457">
        <f>W97+W98</f>
        <v>0</v>
      </c>
      <c r="X96" s="457">
        <f t="shared" si="158"/>
        <v>0</v>
      </c>
      <c r="Y96" s="457">
        <f t="shared" si="158"/>
        <v>0</v>
      </c>
      <c r="Z96" s="457">
        <f t="shared" si="158"/>
        <v>0</v>
      </c>
      <c r="AA96" s="457">
        <f t="shared" si="158"/>
        <v>0</v>
      </c>
      <c r="AB96" s="457">
        <f t="shared" si="158"/>
        <v>0</v>
      </c>
      <c r="AC96" s="457">
        <f t="shared" si="158"/>
        <v>0</v>
      </c>
      <c r="AD96" s="457">
        <f t="shared" si="158"/>
        <v>0</v>
      </c>
      <c r="AE96" s="457">
        <f t="shared" si="158"/>
        <v>0</v>
      </c>
      <c r="AF96" s="457">
        <f t="shared" si="158"/>
        <v>0</v>
      </c>
      <c r="AG96" s="457">
        <f>AG97+AG98</f>
        <v>0</v>
      </c>
      <c r="AH96" s="457">
        <f t="shared" si="158"/>
        <v>0</v>
      </c>
      <c r="AI96" s="457">
        <f t="shared" si="158"/>
        <v>0</v>
      </c>
      <c r="AJ96" s="457">
        <f t="shared" si="158"/>
        <v>0</v>
      </c>
      <c r="AK96" s="457">
        <f t="shared" si="158"/>
        <v>0</v>
      </c>
      <c r="AL96" s="457">
        <f t="shared" si="158"/>
        <v>0</v>
      </c>
      <c r="AM96" s="457">
        <f t="shared" si="158"/>
        <v>0</v>
      </c>
      <c r="AN96" s="457">
        <f t="shared" si="158"/>
        <v>0</v>
      </c>
      <c r="AO96" s="457">
        <f t="shared" si="158"/>
        <v>0</v>
      </c>
      <c r="AP96" s="457">
        <f t="shared" si="158"/>
        <v>0</v>
      </c>
      <c r="AQ96" s="457">
        <f>AQ97+AQ98</f>
        <v>0</v>
      </c>
      <c r="AR96" s="457">
        <f>AR97+AR98</f>
        <v>0</v>
      </c>
      <c r="AS96" s="457">
        <f t="shared" si="158"/>
        <v>0</v>
      </c>
      <c r="AT96" s="457">
        <f t="shared" si="158"/>
        <v>0</v>
      </c>
      <c r="AU96" s="457">
        <f t="shared" si="158"/>
        <v>0</v>
      </c>
      <c r="AV96" s="457">
        <f>AV97+AV98</f>
        <v>0</v>
      </c>
      <c r="AW96" s="457">
        <f t="shared" si="158"/>
        <v>0</v>
      </c>
      <c r="AX96" s="457">
        <f t="shared" si="158"/>
        <v>0</v>
      </c>
      <c r="AY96" s="457">
        <f>AY97+AY98</f>
        <v>706323360</v>
      </c>
      <c r="AZ96" s="457">
        <f>AZ97+AZ98</f>
        <v>124540000</v>
      </c>
      <c r="BA96" s="457">
        <f>BA97+BA98</f>
        <v>581783360</v>
      </c>
      <c r="BB96" s="457">
        <f t="shared" si="158"/>
        <v>0</v>
      </c>
      <c r="BC96" s="457">
        <f t="shared" si="158"/>
        <v>0</v>
      </c>
      <c r="BD96" s="457">
        <f t="shared" si="158"/>
        <v>0</v>
      </c>
      <c r="BE96" s="457">
        <f t="shared" si="158"/>
        <v>0</v>
      </c>
      <c r="BF96" s="457">
        <f t="shared" si="158"/>
        <v>200000</v>
      </c>
      <c r="BG96" s="457">
        <f t="shared" si="158"/>
        <v>0</v>
      </c>
      <c r="BH96" s="457">
        <f t="shared" si="158"/>
        <v>0</v>
      </c>
      <c r="BI96" s="457">
        <f>BI97+BI98</f>
        <v>124140000</v>
      </c>
      <c r="BJ96" s="457">
        <f t="shared" si="158"/>
        <v>71288000</v>
      </c>
      <c r="BK96" s="457">
        <f t="shared" si="158"/>
        <v>180000000</v>
      </c>
      <c r="BL96" s="457">
        <f t="shared" si="158"/>
        <v>72132502</v>
      </c>
      <c r="BM96" s="457">
        <f t="shared" si="158"/>
        <v>28249751</v>
      </c>
      <c r="BN96" s="457">
        <f t="shared" si="158"/>
        <v>2935807</v>
      </c>
      <c r="BO96" s="457">
        <f t="shared" si="158"/>
        <v>0</v>
      </c>
      <c r="BP96" s="457">
        <f t="shared" si="158"/>
        <v>0</v>
      </c>
      <c r="BQ96" s="457">
        <f t="shared" si="158"/>
        <v>0</v>
      </c>
      <c r="BR96" s="457">
        <f t="shared" si="158"/>
        <v>0</v>
      </c>
      <c r="BS96" s="457">
        <f t="shared" si="158"/>
        <v>0</v>
      </c>
      <c r="BT96" s="457">
        <f t="shared" si="158"/>
        <v>0</v>
      </c>
      <c r="BU96" s="457">
        <f t="shared" si="158"/>
        <v>0</v>
      </c>
      <c r="BV96" s="457">
        <f t="shared" si="158"/>
        <v>0</v>
      </c>
      <c r="BW96" s="457">
        <f t="shared" si="158"/>
        <v>0</v>
      </c>
      <c r="BX96" s="457">
        <f t="shared" si="158"/>
        <v>200000</v>
      </c>
      <c r="BY96" s="457">
        <f t="shared" si="158"/>
        <v>196273200</v>
      </c>
      <c r="BZ96" s="457">
        <f aca="true" t="shared" si="159" ref="BZ96:CP96">BZ97+BZ98</f>
        <v>17000000</v>
      </c>
      <c r="CA96" s="457">
        <f>CA97+CA98</f>
        <v>0</v>
      </c>
      <c r="CB96" s="457">
        <f t="shared" si="159"/>
        <v>995000</v>
      </c>
      <c r="CC96" s="457">
        <f t="shared" si="159"/>
        <v>12909100</v>
      </c>
      <c r="CD96" s="457">
        <f t="shared" si="159"/>
        <v>4867730500</v>
      </c>
      <c r="CE96" s="457">
        <f>CE97+CE98</f>
        <v>0</v>
      </c>
      <c r="CF96" s="457">
        <f>CF97+CF98</f>
        <v>4867730500</v>
      </c>
      <c r="CG96" s="457">
        <f t="shared" si="159"/>
        <v>0</v>
      </c>
      <c r="CH96" s="457">
        <f>CH97+CH98</f>
        <v>0</v>
      </c>
      <c r="CI96" s="457">
        <f>CI97+CI98</f>
        <v>0</v>
      </c>
      <c r="CJ96" s="457">
        <f t="shared" si="159"/>
        <v>0</v>
      </c>
      <c r="CK96" s="457">
        <f t="shared" si="159"/>
        <v>0</v>
      </c>
      <c r="CL96" s="457">
        <f t="shared" si="159"/>
        <v>0</v>
      </c>
      <c r="CM96" s="457">
        <f t="shared" si="159"/>
        <v>0</v>
      </c>
      <c r="CN96" s="457">
        <f t="shared" si="159"/>
        <v>4579112500</v>
      </c>
      <c r="CO96" s="457">
        <f t="shared" si="159"/>
        <v>288618000</v>
      </c>
      <c r="CP96" s="457">
        <f t="shared" si="159"/>
        <v>0</v>
      </c>
      <c r="CQ96" s="457">
        <f>CQ97+CQ98</f>
        <v>0</v>
      </c>
      <c r="CR96" s="453" t="s">
        <v>274</v>
      </c>
      <c r="CS96" s="457">
        <f>CS97+CS98</f>
        <v>5574053860</v>
      </c>
      <c r="CT96" s="457">
        <f>CT97+CT98</f>
        <v>0</v>
      </c>
      <c r="CU96" s="457">
        <f aca="true" t="shared" si="160" ref="CU96:FJ96">CU97+CU98</f>
        <v>0</v>
      </c>
      <c r="CV96" s="457">
        <f>CV97+CV98</f>
        <v>0</v>
      </c>
      <c r="CW96" s="457">
        <f>CW97+CW98</f>
        <v>0</v>
      </c>
      <c r="CX96" s="457">
        <f>CX97+CX98</f>
        <v>0</v>
      </c>
      <c r="CY96" s="457">
        <f t="shared" si="160"/>
        <v>0</v>
      </c>
      <c r="CZ96" s="457">
        <f t="shared" si="160"/>
        <v>0</v>
      </c>
      <c r="DA96" s="457">
        <f t="shared" si="160"/>
        <v>0</v>
      </c>
      <c r="DB96" s="457">
        <f>DB97+DB98</f>
        <v>0</v>
      </c>
      <c r="DC96" s="457">
        <f t="shared" si="160"/>
        <v>0</v>
      </c>
      <c r="DD96" s="457">
        <f t="shared" si="160"/>
        <v>0</v>
      </c>
      <c r="DE96" s="457">
        <f t="shared" si="160"/>
        <v>0</v>
      </c>
      <c r="DF96" s="457">
        <f t="shared" si="160"/>
        <v>0</v>
      </c>
      <c r="DG96" s="457">
        <f t="shared" si="160"/>
        <v>0</v>
      </c>
      <c r="DH96" s="457">
        <f t="shared" si="160"/>
        <v>0</v>
      </c>
      <c r="DI96" s="457">
        <f>DI97+DI98</f>
        <v>0</v>
      </c>
      <c r="DJ96" s="457">
        <f t="shared" si="160"/>
        <v>0</v>
      </c>
      <c r="DK96" s="457">
        <f t="shared" si="160"/>
        <v>0</v>
      </c>
      <c r="DL96" s="457">
        <f>DL97+DL98</f>
        <v>0</v>
      </c>
      <c r="DM96" s="457">
        <f>DM97+DM98</f>
        <v>0</v>
      </c>
      <c r="DN96" s="457">
        <f t="shared" si="160"/>
        <v>0</v>
      </c>
      <c r="DO96" s="457">
        <f t="shared" si="160"/>
        <v>0</v>
      </c>
      <c r="DP96" s="457">
        <f t="shared" si="160"/>
        <v>0</v>
      </c>
      <c r="DQ96" s="457">
        <f t="shared" si="160"/>
        <v>0</v>
      </c>
      <c r="DR96" s="457">
        <f t="shared" si="160"/>
        <v>0</v>
      </c>
      <c r="DS96" s="457">
        <f t="shared" si="160"/>
        <v>0</v>
      </c>
      <c r="DT96" s="457">
        <f t="shared" si="160"/>
        <v>0</v>
      </c>
      <c r="DU96" s="457">
        <f t="shared" si="160"/>
        <v>0</v>
      </c>
      <c r="DV96" s="457">
        <f t="shared" si="160"/>
        <v>0</v>
      </c>
      <c r="DW96" s="457">
        <f>DW97+DW98</f>
        <v>0</v>
      </c>
      <c r="DX96" s="457">
        <f t="shared" si="160"/>
        <v>0</v>
      </c>
      <c r="DY96" s="457">
        <f t="shared" si="160"/>
        <v>0</v>
      </c>
      <c r="DZ96" s="457">
        <f t="shared" si="160"/>
        <v>0</v>
      </c>
      <c r="EA96" s="457">
        <f t="shared" si="160"/>
        <v>0</v>
      </c>
      <c r="EB96" s="457">
        <f t="shared" si="160"/>
        <v>0</v>
      </c>
      <c r="EC96" s="457">
        <f t="shared" si="160"/>
        <v>0</v>
      </c>
      <c r="ED96" s="457">
        <f t="shared" si="160"/>
        <v>0</v>
      </c>
      <c r="EE96" s="457">
        <f t="shared" si="160"/>
        <v>0</v>
      </c>
      <c r="EF96" s="457">
        <f t="shared" si="160"/>
        <v>0</v>
      </c>
      <c r="EG96" s="457">
        <f>EG97+EG98</f>
        <v>0</v>
      </c>
      <c r="EH96" s="457">
        <f>EH97+EH98</f>
        <v>0</v>
      </c>
      <c r="EI96" s="457">
        <f t="shared" si="160"/>
        <v>0</v>
      </c>
      <c r="EJ96" s="457">
        <f t="shared" si="160"/>
        <v>0</v>
      </c>
      <c r="EK96" s="457">
        <f t="shared" si="160"/>
        <v>0</v>
      </c>
      <c r="EL96" s="457">
        <f>EL97+EL98</f>
        <v>0</v>
      </c>
      <c r="EM96" s="457">
        <f t="shared" si="160"/>
        <v>0</v>
      </c>
      <c r="EN96" s="457">
        <f t="shared" si="160"/>
        <v>0</v>
      </c>
      <c r="EO96" s="457">
        <f t="shared" si="160"/>
        <v>706323360</v>
      </c>
      <c r="EP96" s="457">
        <f t="shared" si="160"/>
        <v>124540000</v>
      </c>
      <c r="EQ96" s="457">
        <f t="shared" si="160"/>
        <v>581783360</v>
      </c>
      <c r="ER96" s="457">
        <f t="shared" si="160"/>
        <v>0</v>
      </c>
      <c r="ES96" s="457">
        <f t="shared" si="160"/>
        <v>0</v>
      </c>
      <c r="ET96" s="457">
        <f t="shared" si="160"/>
        <v>0</v>
      </c>
      <c r="EU96" s="457">
        <f t="shared" si="160"/>
        <v>0</v>
      </c>
      <c r="EV96" s="457">
        <f t="shared" si="160"/>
        <v>200000</v>
      </c>
      <c r="EW96" s="457">
        <f t="shared" si="160"/>
        <v>0</v>
      </c>
      <c r="EX96" s="457">
        <f t="shared" si="160"/>
        <v>0</v>
      </c>
      <c r="EY96" s="457">
        <f>EY97+EY98</f>
        <v>124140000</v>
      </c>
      <c r="EZ96" s="457">
        <f t="shared" si="160"/>
        <v>71288000</v>
      </c>
      <c r="FA96" s="457">
        <f t="shared" si="160"/>
        <v>180000000</v>
      </c>
      <c r="FB96" s="457">
        <f t="shared" si="160"/>
        <v>72132502</v>
      </c>
      <c r="FC96" s="457">
        <f t="shared" si="160"/>
        <v>28249751</v>
      </c>
      <c r="FD96" s="457">
        <f>FD97+FD98</f>
        <v>2935807</v>
      </c>
      <c r="FE96" s="457">
        <f t="shared" si="160"/>
        <v>0</v>
      </c>
      <c r="FF96" s="457">
        <f t="shared" si="160"/>
        <v>0</v>
      </c>
      <c r="FG96" s="457">
        <f t="shared" si="160"/>
        <v>0</v>
      </c>
      <c r="FH96" s="457">
        <f t="shared" si="160"/>
        <v>0</v>
      </c>
      <c r="FI96" s="457">
        <f t="shared" si="160"/>
        <v>0</v>
      </c>
      <c r="FJ96" s="457">
        <f t="shared" si="160"/>
        <v>0</v>
      </c>
      <c r="FK96" s="457">
        <f aca="true" t="shared" si="161" ref="FK96:GF96">FK97+FK98</f>
        <v>0</v>
      </c>
      <c r="FL96" s="457">
        <f t="shared" si="161"/>
        <v>0</v>
      </c>
      <c r="FM96" s="457">
        <f t="shared" si="161"/>
        <v>0</v>
      </c>
      <c r="FN96" s="457">
        <f t="shared" si="161"/>
        <v>200000</v>
      </c>
      <c r="FO96" s="457">
        <f t="shared" si="161"/>
        <v>196273200</v>
      </c>
      <c r="FP96" s="457">
        <f t="shared" si="161"/>
        <v>17000000</v>
      </c>
      <c r="FQ96" s="457">
        <f>FQ97+FQ98</f>
        <v>0</v>
      </c>
      <c r="FR96" s="457">
        <f t="shared" si="161"/>
        <v>995000</v>
      </c>
      <c r="FS96" s="457">
        <f t="shared" si="161"/>
        <v>12909100</v>
      </c>
      <c r="FT96" s="457">
        <f t="shared" si="161"/>
        <v>4867730500</v>
      </c>
      <c r="FU96" s="457">
        <f>FU97+FU98</f>
        <v>0</v>
      </c>
      <c r="FV96" s="457">
        <f t="shared" si="161"/>
        <v>4867730500</v>
      </c>
      <c r="FW96" s="457">
        <f t="shared" si="161"/>
        <v>0</v>
      </c>
      <c r="FX96" s="457">
        <f>FX97+FX98</f>
        <v>0</v>
      </c>
      <c r="FY96" s="457"/>
      <c r="FZ96" s="457">
        <f t="shared" si="161"/>
        <v>0</v>
      </c>
      <c r="GA96" s="457">
        <f t="shared" si="161"/>
        <v>0</v>
      </c>
      <c r="GB96" s="457">
        <f t="shared" si="161"/>
        <v>0</v>
      </c>
      <c r="GC96" s="457">
        <f t="shared" si="161"/>
        <v>0</v>
      </c>
      <c r="GD96" s="457">
        <f t="shared" si="161"/>
        <v>4579112500</v>
      </c>
      <c r="GE96" s="457">
        <f t="shared" si="161"/>
        <v>288618000</v>
      </c>
      <c r="GF96" s="457">
        <f t="shared" si="161"/>
        <v>0</v>
      </c>
      <c r="GG96" s="457">
        <f>GG97+GG98</f>
        <v>0</v>
      </c>
      <c r="GH96" s="457">
        <f>GH97+GH98</f>
        <v>0</v>
      </c>
      <c r="GI96" s="453" t="s">
        <v>274</v>
      </c>
      <c r="GJ96" s="455">
        <f aca="true" t="shared" si="162" ref="GJ96:GJ101">CS96/C96</f>
        <v>1</v>
      </c>
      <c r="GK96" s="455"/>
      <c r="GL96" s="455"/>
      <c r="GM96" s="455">
        <f>EO96/AY96</f>
        <v>1</v>
      </c>
      <c r="GN96" s="455">
        <f>FT96/CD96</f>
        <v>1</v>
      </c>
    </row>
    <row r="97" spans="1:196" s="456" customFormat="1" ht="13.5" customHeight="1" hidden="1">
      <c r="A97" s="458"/>
      <c r="B97" s="453" t="s">
        <v>250</v>
      </c>
      <c r="C97" s="457">
        <f>D97+J97+AY97+CD97</f>
        <v>124540000</v>
      </c>
      <c r="D97" s="457">
        <f>SUM(E97:I97)</f>
        <v>0</v>
      </c>
      <c r="E97" s="460"/>
      <c r="F97" s="460"/>
      <c r="G97" s="460"/>
      <c r="H97" s="460"/>
      <c r="I97" s="460"/>
      <c r="J97" s="457">
        <f>SUM(K97:AX97)</f>
        <v>0</v>
      </c>
      <c r="K97" s="460"/>
      <c r="L97" s="460"/>
      <c r="M97" s="460"/>
      <c r="N97" s="460"/>
      <c r="O97" s="460"/>
      <c r="P97" s="460"/>
      <c r="Q97" s="460"/>
      <c r="R97" s="460"/>
      <c r="S97" s="460"/>
      <c r="T97" s="460"/>
      <c r="U97" s="460"/>
      <c r="V97" s="460"/>
      <c r="W97" s="460"/>
      <c r="X97" s="460"/>
      <c r="Y97" s="460"/>
      <c r="Z97" s="460"/>
      <c r="AA97" s="460"/>
      <c r="AB97" s="460"/>
      <c r="AC97" s="460"/>
      <c r="AD97" s="460"/>
      <c r="AE97" s="460"/>
      <c r="AF97" s="460"/>
      <c r="AG97" s="460"/>
      <c r="AH97" s="460"/>
      <c r="AI97" s="460"/>
      <c r="AJ97" s="460"/>
      <c r="AK97" s="460"/>
      <c r="AL97" s="460"/>
      <c r="AM97" s="460"/>
      <c r="AN97" s="460"/>
      <c r="AO97" s="460"/>
      <c r="AP97" s="460"/>
      <c r="AQ97" s="460"/>
      <c r="AR97" s="460"/>
      <c r="AS97" s="460"/>
      <c r="AT97" s="460"/>
      <c r="AU97" s="460"/>
      <c r="AV97" s="460"/>
      <c r="AW97" s="460"/>
      <c r="AX97" s="460"/>
      <c r="AY97" s="457">
        <f>SUM(AZ97:BA97)</f>
        <v>124540000</v>
      </c>
      <c r="AZ97" s="457">
        <f>SUM(BB97:BI97)+SUM(BQ97:BX97)</f>
        <v>124540000</v>
      </c>
      <c r="BA97" s="457">
        <f>SUM(BJ97:BP97)+SUM(BY97:CC97)</f>
        <v>0</v>
      </c>
      <c r="BB97" s="460"/>
      <c r="BC97" s="460"/>
      <c r="BD97" s="460"/>
      <c r="BE97" s="460"/>
      <c r="BF97" s="460">
        <v>200000</v>
      </c>
      <c r="BG97" s="460"/>
      <c r="BH97" s="460"/>
      <c r="BI97" s="460">
        <v>124140000</v>
      </c>
      <c r="BJ97" s="460"/>
      <c r="BK97" s="460"/>
      <c r="BL97" s="460"/>
      <c r="BM97" s="460"/>
      <c r="BN97" s="460"/>
      <c r="BO97" s="460"/>
      <c r="BP97" s="460"/>
      <c r="BQ97" s="460"/>
      <c r="BR97" s="460"/>
      <c r="BS97" s="460"/>
      <c r="BT97" s="460"/>
      <c r="BU97" s="460"/>
      <c r="BV97" s="460"/>
      <c r="BW97" s="460"/>
      <c r="BX97" s="460">
        <v>200000</v>
      </c>
      <c r="BY97" s="460"/>
      <c r="BZ97" s="460"/>
      <c r="CA97" s="460"/>
      <c r="CB97" s="460"/>
      <c r="CC97" s="460"/>
      <c r="CD97" s="457">
        <f>SUM(CE97:CF97)</f>
        <v>0</v>
      </c>
      <c r="CE97" s="457">
        <f>SUM(CG97:CI97)</f>
        <v>0</v>
      </c>
      <c r="CF97" s="457">
        <f>SUM(CJ97:CQ97)</f>
        <v>0</v>
      </c>
      <c r="CG97" s="460"/>
      <c r="CH97" s="460"/>
      <c r="CI97" s="460"/>
      <c r="CJ97" s="460"/>
      <c r="CK97" s="460"/>
      <c r="CL97" s="460"/>
      <c r="CM97" s="460"/>
      <c r="CN97" s="460"/>
      <c r="CO97" s="460"/>
      <c r="CP97" s="460"/>
      <c r="CQ97" s="460"/>
      <c r="CR97" s="453" t="s">
        <v>250</v>
      </c>
      <c r="CS97" s="457">
        <f>CT97+CZ97+EO97+FT97+GH97</f>
        <v>124540000</v>
      </c>
      <c r="CT97" s="457">
        <f>SUM(CU97:CY97)</f>
        <v>0</v>
      </c>
      <c r="CU97" s="460"/>
      <c r="CV97" s="460"/>
      <c r="CW97" s="460"/>
      <c r="CX97" s="460"/>
      <c r="CY97" s="460"/>
      <c r="CZ97" s="457">
        <f>SUM(DA97:EN97)</f>
        <v>0</v>
      </c>
      <c r="DA97" s="460"/>
      <c r="DB97" s="460"/>
      <c r="DC97" s="460"/>
      <c r="DD97" s="460"/>
      <c r="DE97" s="460"/>
      <c r="DF97" s="460"/>
      <c r="DG97" s="460"/>
      <c r="DH97" s="460"/>
      <c r="DI97" s="460"/>
      <c r="DJ97" s="460"/>
      <c r="DK97" s="460"/>
      <c r="DL97" s="460"/>
      <c r="DM97" s="460"/>
      <c r="DN97" s="460"/>
      <c r="DO97" s="460"/>
      <c r="DP97" s="460"/>
      <c r="DQ97" s="460"/>
      <c r="DR97" s="460"/>
      <c r="DS97" s="460"/>
      <c r="DT97" s="460"/>
      <c r="DU97" s="460"/>
      <c r="DV97" s="460"/>
      <c r="DW97" s="460"/>
      <c r="DX97" s="460"/>
      <c r="DY97" s="460"/>
      <c r="DZ97" s="460"/>
      <c r="EA97" s="460"/>
      <c r="EB97" s="460"/>
      <c r="EC97" s="460"/>
      <c r="ED97" s="460"/>
      <c r="EE97" s="460"/>
      <c r="EF97" s="460"/>
      <c r="EG97" s="460"/>
      <c r="EH97" s="460"/>
      <c r="EI97" s="460"/>
      <c r="EJ97" s="460"/>
      <c r="EK97" s="460"/>
      <c r="EL97" s="460"/>
      <c r="EM97" s="460"/>
      <c r="EN97" s="460"/>
      <c r="EO97" s="457">
        <f>SUM(EP97:EQ97)</f>
        <v>124540000</v>
      </c>
      <c r="EP97" s="457">
        <f>SUM(ER97:EY97)+SUM(FG97:FN97)</f>
        <v>124540000</v>
      </c>
      <c r="EQ97" s="457">
        <f>SUM(EZ97:FF97)+SUM(FO97:FS97)</f>
        <v>0</v>
      </c>
      <c r="ER97" s="460"/>
      <c r="ES97" s="460"/>
      <c r="ET97" s="460"/>
      <c r="EU97" s="460"/>
      <c r="EV97" s="460">
        <v>200000</v>
      </c>
      <c r="EW97" s="460"/>
      <c r="EX97" s="460"/>
      <c r="EY97" s="460">
        <v>124140000</v>
      </c>
      <c r="EZ97" s="460"/>
      <c r="FA97" s="460"/>
      <c r="FB97" s="460"/>
      <c r="FC97" s="460"/>
      <c r="FD97" s="460"/>
      <c r="FE97" s="460"/>
      <c r="FF97" s="460"/>
      <c r="FG97" s="460"/>
      <c r="FH97" s="460"/>
      <c r="FI97" s="460"/>
      <c r="FJ97" s="460"/>
      <c r="FK97" s="460"/>
      <c r="FL97" s="460"/>
      <c r="FM97" s="460"/>
      <c r="FN97" s="460">
        <v>200000</v>
      </c>
      <c r="FO97" s="460"/>
      <c r="FP97" s="460"/>
      <c r="FQ97" s="460"/>
      <c r="FR97" s="460"/>
      <c r="FS97" s="460"/>
      <c r="FT97" s="457">
        <f>SUM(FU97:FV97)</f>
        <v>0</v>
      </c>
      <c r="FU97" s="457">
        <f>SUM(FW97:FY97)</f>
        <v>0</v>
      </c>
      <c r="FV97" s="457">
        <f>SUM(FZ97:GG97)</f>
        <v>0</v>
      </c>
      <c r="FW97" s="460"/>
      <c r="FX97" s="460"/>
      <c r="FY97" s="460"/>
      <c r="FZ97" s="460"/>
      <c r="GA97" s="460"/>
      <c r="GB97" s="460"/>
      <c r="GC97" s="460"/>
      <c r="GD97" s="460"/>
      <c r="GE97" s="460"/>
      <c r="GF97" s="460"/>
      <c r="GG97" s="460"/>
      <c r="GH97" s="460"/>
      <c r="GI97" s="453" t="s">
        <v>250</v>
      </c>
      <c r="GJ97" s="455">
        <f t="shared" si="162"/>
        <v>1</v>
      </c>
      <c r="GK97" s="455"/>
      <c r="GL97" s="455"/>
      <c r="GM97" s="455">
        <f>EO97/AY97</f>
        <v>1</v>
      </c>
      <c r="GN97" s="455"/>
    </row>
    <row r="98" spans="1:196" s="456" customFormat="1" ht="13.5" customHeight="1" hidden="1">
      <c r="A98" s="458"/>
      <c r="B98" s="453" t="s">
        <v>251</v>
      </c>
      <c r="C98" s="457">
        <f>D98+J98+AY98+CD98</f>
        <v>5449513860</v>
      </c>
      <c r="D98" s="457">
        <f>SUM(E98:I98)</f>
        <v>0</v>
      </c>
      <c r="E98" s="460"/>
      <c r="F98" s="460"/>
      <c r="G98" s="460"/>
      <c r="H98" s="460"/>
      <c r="I98" s="460"/>
      <c r="J98" s="457">
        <f>SUM(K98:AX98)</f>
        <v>0</v>
      </c>
      <c r="K98" s="460"/>
      <c r="L98" s="460"/>
      <c r="M98" s="460"/>
      <c r="N98" s="460"/>
      <c r="O98" s="460"/>
      <c r="P98" s="460"/>
      <c r="Q98" s="460"/>
      <c r="R98" s="460"/>
      <c r="S98" s="460"/>
      <c r="T98" s="460"/>
      <c r="U98" s="460"/>
      <c r="V98" s="460"/>
      <c r="W98" s="460"/>
      <c r="X98" s="460"/>
      <c r="Y98" s="460"/>
      <c r="Z98" s="460"/>
      <c r="AA98" s="460"/>
      <c r="AB98" s="460"/>
      <c r="AC98" s="460"/>
      <c r="AD98" s="460"/>
      <c r="AE98" s="460"/>
      <c r="AF98" s="460"/>
      <c r="AG98" s="460"/>
      <c r="AH98" s="460"/>
      <c r="AI98" s="460"/>
      <c r="AJ98" s="460"/>
      <c r="AK98" s="460"/>
      <c r="AL98" s="460"/>
      <c r="AM98" s="460"/>
      <c r="AN98" s="460"/>
      <c r="AO98" s="460"/>
      <c r="AP98" s="460"/>
      <c r="AQ98" s="460"/>
      <c r="AR98" s="460"/>
      <c r="AS98" s="460"/>
      <c r="AT98" s="460"/>
      <c r="AU98" s="460"/>
      <c r="AV98" s="460"/>
      <c r="AW98" s="460"/>
      <c r="AX98" s="460"/>
      <c r="AY98" s="457">
        <f>SUM(AZ98:BA98)</f>
        <v>581783360</v>
      </c>
      <c r="AZ98" s="457">
        <f>SUM(BB98:BI98)+SUM(BQ98:BX98)</f>
        <v>0</v>
      </c>
      <c r="BA98" s="457">
        <f>SUM(BJ98:BP98)+SUM(BY98:CC98)</f>
        <v>581783360</v>
      </c>
      <c r="BB98" s="460"/>
      <c r="BC98" s="460"/>
      <c r="BD98" s="460"/>
      <c r="BE98" s="460"/>
      <c r="BF98" s="460"/>
      <c r="BG98" s="460"/>
      <c r="BH98" s="460"/>
      <c r="BI98" s="460"/>
      <c r="BJ98" s="460">
        <f>71288000</f>
        <v>71288000</v>
      </c>
      <c r="BK98" s="460">
        <v>180000000</v>
      </c>
      <c r="BL98" s="460">
        <f>72132502</f>
        <v>72132502</v>
      </c>
      <c r="BM98" s="460">
        <v>28249751</v>
      </c>
      <c r="BN98" s="460">
        <v>2935807</v>
      </c>
      <c r="BO98" s="460"/>
      <c r="BP98" s="460"/>
      <c r="BQ98" s="460"/>
      <c r="BR98" s="460"/>
      <c r="BS98" s="460"/>
      <c r="BT98" s="460"/>
      <c r="BU98" s="460"/>
      <c r="BV98" s="460"/>
      <c r="BW98" s="460"/>
      <c r="BX98" s="460"/>
      <c r="BY98" s="457">
        <f>196273200</f>
        <v>196273200</v>
      </c>
      <c r="BZ98" s="457">
        <f>17000000</f>
        <v>17000000</v>
      </c>
      <c r="CA98" s="460"/>
      <c r="CB98" s="460">
        <v>995000</v>
      </c>
      <c r="CC98" s="460">
        <f>12909100</f>
        <v>12909100</v>
      </c>
      <c r="CD98" s="457">
        <f>SUM(CE98:CF98)</f>
        <v>4867730500</v>
      </c>
      <c r="CE98" s="457">
        <f>SUM(CG98:CI98)</f>
        <v>0</v>
      </c>
      <c r="CF98" s="457">
        <f>SUM(CJ98:CQ98)</f>
        <v>4867730500</v>
      </c>
      <c r="CG98" s="460"/>
      <c r="CH98" s="460"/>
      <c r="CI98" s="460"/>
      <c r="CJ98" s="460"/>
      <c r="CK98" s="460"/>
      <c r="CL98" s="460"/>
      <c r="CM98" s="460"/>
      <c r="CN98" s="460">
        <f>4579112500</f>
        <v>4579112500</v>
      </c>
      <c r="CO98" s="460">
        <v>288618000</v>
      </c>
      <c r="CP98" s="460"/>
      <c r="CQ98" s="460"/>
      <c r="CR98" s="453" t="s">
        <v>251</v>
      </c>
      <c r="CS98" s="457">
        <f>CT98+CZ98+EO98+FT98+GH98</f>
        <v>5449513860</v>
      </c>
      <c r="CT98" s="457">
        <f>SUM(CU98:CY98)</f>
        <v>0</v>
      </c>
      <c r="CU98" s="460"/>
      <c r="CV98" s="460"/>
      <c r="CW98" s="460"/>
      <c r="CX98" s="460"/>
      <c r="CY98" s="460"/>
      <c r="CZ98" s="457">
        <f>SUM(DA98:EN98)</f>
        <v>0</v>
      </c>
      <c r="DA98" s="460"/>
      <c r="DB98" s="460"/>
      <c r="DC98" s="460"/>
      <c r="DD98" s="460"/>
      <c r="DE98" s="460"/>
      <c r="DF98" s="460"/>
      <c r="DG98" s="460"/>
      <c r="DH98" s="460"/>
      <c r="DI98" s="460"/>
      <c r="DJ98" s="460"/>
      <c r="DK98" s="460"/>
      <c r="DL98" s="460"/>
      <c r="DM98" s="460"/>
      <c r="DN98" s="460"/>
      <c r="DO98" s="460"/>
      <c r="DP98" s="460"/>
      <c r="DQ98" s="460"/>
      <c r="DR98" s="460"/>
      <c r="DS98" s="460"/>
      <c r="DT98" s="460"/>
      <c r="DU98" s="460"/>
      <c r="DV98" s="460"/>
      <c r="DW98" s="460"/>
      <c r="DX98" s="460"/>
      <c r="DY98" s="460"/>
      <c r="DZ98" s="460"/>
      <c r="EA98" s="460"/>
      <c r="EB98" s="460"/>
      <c r="EC98" s="460"/>
      <c r="ED98" s="460"/>
      <c r="EE98" s="460"/>
      <c r="EF98" s="460"/>
      <c r="EG98" s="460"/>
      <c r="EH98" s="460"/>
      <c r="EI98" s="460"/>
      <c r="EJ98" s="460"/>
      <c r="EK98" s="460"/>
      <c r="EL98" s="460"/>
      <c r="EM98" s="460"/>
      <c r="EN98" s="460"/>
      <c r="EO98" s="457">
        <f>SUM(EP98:EQ98)</f>
        <v>581783360</v>
      </c>
      <c r="EP98" s="457">
        <f>SUM(ER98:EY98)+SUM(FG98:FN98)</f>
        <v>0</v>
      </c>
      <c r="EQ98" s="457">
        <f>SUM(EZ98:FF98)+SUM(FO98:FS98)</f>
        <v>581783360</v>
      </c>
      <c r="ER98" s="460"/>
      <c r="ES98" s="460"/>
      <c r="ET98" s="460"/>
      <c r="EU98" s="460"/>
      <c r="EV98" s="460"/>
      <c r="EW98" s="460"/>
      <c r="EX98" s="460"/>
      <c r="EY98" s="460"/>
      <c r="EZ98" s="460">
        <f>71288000</f>
        <v>71288000</v>
      </c>
      <c r="FA98" s="460">
        <v>180000000</v>
      </c>
      <c r="FB98" s="460">
        <f>72132502</f>
        <v>72132502</v>
      </c>
      <c r="FC98" s="460">
        <v>28249751</v>
      </c>
      <c r="FD98" s="460">
        <v>2935807</v>
      </c>
      <c r="FE98" s="460"/>
      <c r="FF98" s="460"/>
      <c r="FG98" s="460"/>
      <c r="FH98" s="460"/>
      <c r="FI98" s="460"/>
      <c r="FJ98" s="460"/>
      <c r="FK98" s="460"/>
      <c r="FL98" s="460"/>
      <c r="FM98" s="460"/>
      <c r="FN98" s="460"/>
      <c r="FO98" s="460">
        <f>196273200</f>
        <v>196273200</v>
      </c>
      <c r="FP98" s="460">
        <f>17000000</f>
        <v>17000000</v>
      </c>
      <c r="FQ98" s="460"/>
      <c r="FR98" s="460">
        <v>995000</v>
      </c>
      <c r="FS98" s="460">
        <f>12909100</f>
        <v>12909100</v>
      </c>
      <c r="FT98" s="457">
        <f>SUM(FU98:FV98)</f>
        <v>4867730500</v>
      </c>
      <c r="FU98" s="457">
        <f>SUM(FW98:FY98)</f>
        <v>0</v>
      </c>
      <c r="FV98" s="457">
        <f>SUM(FZ98:GG98)</f>
        <v>4867730500</v>
      </c>
      <c r="FW98" s="460"/>
      <c r="FX98" s="460"/>
      <c r="FY98" s="460"/>
      <c r="FZ98" s="460"/>
      <c r="GA98" s="460"/>
      <c r="GB98" s="460"/>
      <c r="GC98" s="460"/>
      <c r="GD98" s="460">
        <f>4579112500</f>
        <v>4579112500</v>
      </c>
      <c r="GE98" s="460">
        <v>288618000</v>
      </c>
      <c r="GF98" s="460"/>
      <c r="GG98" s="460"/>
      <c r="GH98" s="460"/>
      <c r="GI98" s="453" t="s">
        <v>251</v>
      </c>
      <c r="GJ98" s="455">
        <f t="shared" si="162"/>
        <v>1</v>
      </c>
      <c r="GK98" s="455"/>
      <c r="GL98" s="455"/>
      <c r="GM98" s="455">
        <f>EO98/AY98</f>
        <v>1</v>
      </c>
      <c r="GN98" s="455">
        <f>FT98/CD98</f>
        <v>1</v>
      </c>
    </row>
    <row r="99" spans="1:196" s="456" customFormat="1" ht="13.5" customHeight="1">
      <c r="A99" s="461">
        <v>29</v>
      </c>
      <c r="B99" s="462" t="s">
        <v>275</v>
      </c>
      <c r="C99" s="463">
        <f aca="true" t="shared" si="163" ref="C99:H99">C100+C101</f>
        <v>28823491818</v>
      </c>
      <c r="D99" s="463">
        <f t="shared" si="163"/>
        <v>3784531774</v>
      </c>
      <c r="E99" s="463">
        <f t="shared" si="163"/>
        <v>0</v>
      </c>
      <c r="F99" s="463">
        <f t="shared" si="163"/>
        <v>0</v>
      </c>
      <c r="G99" s="463">
        <f t="shared" si="163"/>
        <v>0</v>
      </c>
      <c r="H99" s="463">
        <f t="shared" si="163"/>
        <v>0</v>
      </c>
      <c r="I99" s="463">
        <f aca="true" t="shared" si="164" ref="I99:BY99">I100+I101</f>
        <v>3784531774</v>
      </c>
      <c r="J99" s="463">
        <f>J100+J101</f>
        <v>23955375515</v>
      </c>
      <c r="K99" s="463">
        <f t="shared" si="164"/>
        <v>0</v>
      </c>
      <c r="L99" s="463">
        <f>L100+L101</f>
        <v>0</v>
      </c>
      <c r="M99" s="463">
        <f t="shared" si="164"/>
        <v>200659000</v>
      </c>
      <c r="N99" s="463">
        <f t="shared" si="164"/>
        <v>546455500</v>
      </c>
      <c r="O99" s="463">
        <f t="shared" si="164"/>
        <v>0</v>
      </c>
      <c r="P99" s="463">
        <f t="shared" si="164"/>
        <v>0</v>
      </c>
      <c r="Q99" s="463">
        <f t="shared" si="164"/>
        <v>0</v>
      </c>
      <c r="R99" s="463">
        <f t="shared" si="164"/>
        <v>285276500</v>
      </c>
      <c r="S99" s="463">
        <f>S100+S101</f>
        <v>24528000</v>
      </c>
      <c r="T99" s="463">
        <f t="shared" si="164"/>
        <v>386995514</v>
      </c>
      <c r="U99" s="463">
        <f t="shared" si="164"/>
        <v>0</v>
      </c>
      <c r="V99" s="463">
        <f>V100+V101</f>
        <v>0</v>
      </c>
      <c r="W99" s="463">
        <f>W100+W101</f>
        <v>47118760</v>
      </c>
      <c r="X99" s="463">
        <f t="shared" si="164"/>
        <v>13107328</v>
      </c>
      <c r="Y99" s="463">
        <f t="shared" si="164"/>
        <v>37999000</v>
      </c>
      <c r="Z99" s="463">
        <f t="shared" si="164"/>
        <v>0</v>
      </c>
      <c r="AA99" s="463">
        <f t="shared" si="164"/>
        <v>0</v>
      </c>
      <c r="AB99" s="463">
        <f t="shared" si="164"/>
        <v>0</v>
      </c>
      <c r="AC99" s="463">
        <f t="shared" si="164"/>
        <v>48400000</v>
      </c>
      <c r="AD99" s="463">
        <f t="shared" si="164"/>
        <v>0</v>
      </c>
      <c r="AE99" s="463">
        <f t="shared" si="164"/>
        <v>0</v>
      </c>
      <c r="AF99" s="463">
        <f t="shared" si="164"/>
        <v>1977307665</v>
      </c>
      <c r="AG99" s="463">
        <f>AG100+AG101</f>
        <v>0</v>
      </c>
      <c r="AH99" s="463">
        <f t="shared" si="164"/>
        <v>143146936</v>
      </c>
      <c r="AI99" s="463">
        <f t="shared" si="164"/>
        <v>243016570</v>
      </c>
      <c r="AJ99" s="463">
        <f t="shared" si="164"/>
        <v>157744800</v>
      </c>
      <c r="AK99" s="463">
        <f t="shared" si="164"/>
        <v>1990740085</v>
      </c>
      <c r="AL99" s="463">
        <f t="shared" si="164"/>
        <v>1291477300</v>
      </c>
      <c r="AM99" s="463">
        <f t="shared" si="164"/>
        <v>755903745</v>
      </c>
      <c r="AN99" s="463">
        <f t="shared" si="164"/>
        <v>0</v>
      </c>
      <c r="AO99" s="463">
        <f t="shared" si="164"/>
        <v>98210462</v>
      </c>
      <c r="AP99" s="463">
        <f t="shared" si="164"/>
        <v>0</v>
      </c>
      <c r="AQ99" s="463">
        <f>AQ100+AQ101</f>
        <v>345361083</v>
      </c>
      <c r="AR99" s="463">
        <f>AR100+AR101</f>
        <v>100000</v>
      </c>
      <c r="AS99" s="463">
        <f t="shared" si="164"/>
        <v>6484587847</v>
      </c>
      <c r="AT99" s="463">
        <f t="shared" si="164"/>
        <v>0</v>
      </c>
      <c r="AU99" s="463">
        <f t="shared" si="164"/>
        <v>336069948</v>
      </c>
      <c r="AV99" s="463">
        <f>AV100+AV101</f>
        <v>0</v>
      </c>
      <c r="AW99" s="463">
        <f t="shared" si="164"/>
        <v>0</v>
      </c>
      <c r="AX99" s="463">
        <f t="shared" si="164"/>
        <v>8541169472</v>
      </c>
      <c r="AY99" s="463">
        <f>AY100+AY101</f>
        <v>44554969</v>
      </c>
      <c r="AZ99" s="463">
        <f>AZ100+AZ101</f>
        <v>0</v>
      </c>
      <c r="BA99" s="463">
        <f>BA100+BA101</f>
        <v>44554969</v>
      </c>
      <c r="BB99" s="463">
        <f t="shared" si="164"/>
        <v>0</v>
      </c>
      <c r="BC99" s="463">
        <f t="shared" si="164"/>
        <v>0</v>
      </c>
      <c r="BD99" s="463">
        <f t="shared" si="164"/>
        <v>0</v>
      </c>
      <c r="BE99" s="463">
        <f t="shared" si="164"/>
        <v>0</v>
      </c>
      <c r="BF99" s="463">
        <f t="shared" si="164"/>
        <v>0</v>
      </c>
      <c r="BG99" s="463">
        <f t="shared" si="164"/>
        <v>0</v>
      </c>
      <c r="BH99" s="463">
        <f t="shared" si="164"/>
        <v>0</v>
      </c>
      <c r="BI99" s="463">
        <f>BI100+BI101</f>
        <v>0</v>
      </c>
      <c r="BJ99" s="463">
        <f t="shared" si="164"/>
        <v>37000</v>
      </c>
      <c r="BK99" s="463">
        <f t="shared" si="164"/>
        <v>0</v>
      </c>
      <c r="BL99" s="463">
        <f t="shared" si="164"/>
        <v>5720000</v>
      </c>
      <c r="BM99" s="463">
        <f t="shared" si="164"/>
        <v>0</v>
      </c>
      <c r="BN99" s="463">
        <f t="shared" si="164"/>
        <v>0</v>
      </c>
      <c r="BO99" s="463">
        <f t="shared" si="164"/>
        <v>0</v>
      </c>
      <c r="BP99" s="463">
        <f t="shared" si="164"/>
        <v>0</v>
      </c>
      <c r="BQ99" s="463">
        <f t="shared" si="164"/>
        <v>0</v>
      </c>
      <c r="BR99" s="463">
        <f t="shared" si="164"/>
        <v>0</v>
      </c>
      <c r="BS99" s="463">
        <f t="shared" si="164"/>
        <v>0</v>
      </c>
      <c r="BT99" s="463">
        <f t="shared" si="164"/>
        <v>0</v>
      </c>
      <c r="BU99" s="463">
        <f t="shared" si="164"/>
        <v>0</v>
      </c>
      <c r="BV99" s="463">
        <f t="shared" si="164"/>
        <v>0</v>
      </c>
      <c r="BW99" s="463">
        <f t="shared" si="164"/>
        <v>0</v>
      </c>
      <c r="BX99" s="463">
        <f t="shared" si="164"/>
        <v>0</v>
      </c>
      <c r="BY99" s="463">
        <f t="shared" si="164"/>
        <v>1182500</v>
      </c>
      <c r="BZ99" s="463">
        <f aca="true" t="shared" si="165" ref="BZ99:CP99">BZ100+BZ101</f>
        <v>7000000</v>
      </c>
      <c r="CA99" s="463">
        <f>CA100+CA101</f>
        <v>1920069</v>
      </c>
      <c r="CB99" s="463">
        <f t="shared" si="165"/>
        <v>0</v>
      </c>
      <c r="CC99" s="463">
        <f t="shared" si="165"/>
        <v>28695400</v>
      </c>
      <c r="CD99" s="463">
        <f t="shared" si="165"/>
        <v>1039029560</v>
      </c>
      <c r="CE99" s="463">
        <f>CE100+CE101</f>
        <v>660000000</v>
      </c>
      <c r="CF99" s="463">
        <f>CF100+CF101</f>
        <v>379029560</v>
      </c>
      <c r="CG99" s="463">
        <f t="shared" si="165"/>
        <v>0</v>
      </c>
      <c r="CH99" s="463">
        <f>CH100+CH101</f>
        <v>0</v>
      </c>
      <c r="CI99" s="463">
        <f>CI100+CI101</f>
        <v>660000000</v>
      </c>
      <c r="CJ99" s="463">
        <f t="shared" si="165"/>
        <v>190000000</v>
      </c>
      <c r="CK99" s="463">
        <f t="shared" si="165"/>
        <v>105000000</v>
      </c>
      <c r="CL99" s="463">
        <f t="shared" si="165"/>
        <v>0</v>
      </c>
      <c r="CM99" s="463">
        <f t="shared" si="165"/>
        <v>0</v>
      </c>
      <c r="CN99" s="463">
        <f t="shared" si="165"/>
        <v>84029560</v>
      </c>
      <c r="CO99" s="463">
        <f t="shared" si="165"/>
        <v>0</v>
      </c>
      <c r="CP99" s="463">
        <f t="shared" si="165"/>
        <v>0</v>
      </c>
      <c r="CQ99" s="463">
        <f>CQ100+CQ101</f>
        <v>0</v>
      </c>
      <c r="CR99" s="462" t="s">
        <v>275</v>
      </c>
      <c r="CS99" s="463">
        <f>CS100+CS101</f>
        <v>28726295699</v>
      </c>
      <c r="CT99" s="463">
        <f>CT100+CT101</f>
        <v>0</v>
      </c>
      <c r="CU99" s="463">
        <f aca="true" t="shared" si="166" ref="CU99:FJ99">CU100+CU101</f>
        <v>0</v>
      </c>
      <c r="CV99" s="463">
        <f>CV100+CV101</f>
        <v>0</v>
      </c>
      <c r="CW99" s="463">
        <f>CW100+CW101</f>
        <v>0</v>
      </c>
      <c r="CX99" s="463">
        <f>CX100+CX101</f>
        <v>0</v>
      </c>
      <c r="CY99" s="463">
        <f t="shared" si="166"/>
        <v>0</v>
      </c>
      <c r="CZ99" s="463">
        <f t="shared" si="166"/>
        <v>0</v>
      </c>
      <c r="DA99" s="463">
        <f t="shared" si="166"/>
        <v>0</v>
      </c>
      <c r="DB99" s="463">
        <f>DB100+DB101</f>
        <v>0</v>
      </c>
      <c r="DC99" s="463">
        <f t="shared" si="166"/>
        <v>0</v>
      </c>
      <c r="DD99" s="463">
        <f t="shared" si="166"/>
        <v>0</v>
      </c>
      <c r="DE99" s="463">
        <f t="shared" si="166"/>
        <v>0</v>
      </c>
      <c r="DF99" s="463">
        <f t="shared" si="166"/>
        <v>0</v>
      </c>
      <c r="DG99" s="463">
        <f t="shared" si="166"/>
        <v>0</v>
      </c>
      <c r="DH99" s="463">
        <f t="shared" si="166"/>
        <v>0</v>
      </c>
      <c r="DI99" s="463">
        <f>DI100+DI101</f>
        <v>0</v>
      </c>
      <c r="DJ99" s="463">
        <f t="shared" si="166"/>
        <v>0</v>
      </c>
      <c r="DK99" s="463">
        <f t="shared" si="166"/>
        <v>0</v>
      </c>
      <c r="DL99" s="463">
        <f>DL100+DL101</f>
        <v>0</v>
      </c>
      <c r="DM99" s="463">
        <f>DM100+DM101</f>
        <v>0</v>
      </c>
      <c r="DN99" s="463">
        <f t="shared" si="166"/>
        <v>0</v>
      </c>
      <c r="DO99" s="463">
        <f t="shared" si="166"/>
        <v>0</v>
      </c>
      <c r="DP99" s="463">
        <f t="shared" si="166"/>
        <v>0</v>
      </c>
      <c r="DQ99" s="463">
        <f t="shared" si="166"/>
        <v>0</v>
      </c>
      <c r="DR99" s="463">
        <f t="shared" si="166"/>
        <v>0</v>
      </c>
      <c r="DS99" s="463">
        <f t="shared" si="166"/>
        <v>0</v>
      </c>
      <c r="DT99" s="463">
        <f t="shared" si="166"/>
        <v>0</v>
      </c>
      <c r="DU99" s="463">
        <f t="shared" si="166"/>
        <v>0</v>
      </c>
      <c r="DV99" s="463">
        <f t="shared" si="166"/>
        <v>0</v>
      </c>
      <c r="DW99" s="463">
        <f>DW100+DW101</f>
        <v>0</v>
      </c>
      <c r="DX99" s="463">
        <f t="shared" si="166"/>
        <v>0</v>
      </c>
      <c r="DY99" s="463">
        <f t="shared" si="166"/>
        <v>0</v>
      </c>
      <c r="DZ99" s="463">
        <f t="shared" si="166"/>
        <v>0</v>
      </c>
      <c r="EA99" s="463">
        <f t="shared" si="166"/>
        <v>0</v>
      </c>
      <c r="EB99" s="463">
        <f t="shared" si="166"/>
        <v>0</v>
      </c>
      <c r="EC99" s="463">
        <f t="shared" si="166"/>
        <v>0</v>
      </c>
      <c r="ED99" s="463">
        <f t="shared" si="166"/>
        <v>0</v>
      </c>
      <c r="EE99" s="463">
        <f t="shared" si="166"/>
        <v>0</v>
      </c>
      <c r="EF99" s="463">
        <f t="shared" si="166"/>
        <v>0</v>
      </c>
      <c r="EG99" s="463">
        <f>EG100+EG101</f>
        <v>0</v>
      </c>
      <c r="EH99" s="463">
        <f>EH100+EH101</f>
        <v>0</v>
      </c>
      <c r="EI99" s="463">
        <f t="shared" si="166"/>
        <v>0</v>
      </c>
      <c r="EJ99" s="463">
        <f t="shared" si="166"/>
        <v>0</v>
      </c>
      <c r="EK99" s="463">
        <f t="shared" si="166"/>
        <v>0</v>
      </c>
      <c r="EL99" s="463">
        <f>EL100+EL101</f>
        <v>0</v>
      </c>
      <c r="EM99" s="463">
        <f t="shared" si="166"/>
        <v>0</v>
      </c>
      <c r="EN99" s="463">
        <f t="shared" si="166"/>
        <v>0</v>
      </c>
      <c r="EO99" s="463">
        <f t="shared" si="166"/>
        <v>0</v>
      </c>
      <c r="EP99" s="463">
        <f t="shared" si="166"/>
        <v>0</v>
      </c>
      <c r="EQ99" s="463">
        <f t="shared" si="166"/>
        <v>0</v>
      </c>
      <c r="ER99" s="463">
        <f t="shared" si="166"/>
        <v>0</v>
      </c>
      <c r="ES99" s="463">
        <f t="shared" si="166"/>
        <v>0</v>
      </c>
      <c r="ET99" s="463">
        <f t="shared" si="166"/>
        <v>0</v>
      </c>
      <c r="EU99" s="463">
        <f t="shared" si="166"/>
        <v>0</v>
      </c>
      <c r="EV99" s="463">
        <f t="shared" si="166"/>
        <v>0</v>
      </c>
      <c r="EW99" s="463">
        <f t="shared" si="166"/>
        <v>0</v>
      </c>
      <c r="EX99" s="463">
        <f t="shared" si="166"/>
        <v>0</v>
      </c>
      <c r="EY99" s="463">
        <f>EY100+EY101</f>
        <v>0</v>
      </c>
      <c r="EZ99" s="463">
        <f t="shared" si="166"/>
        <v>0</v>
      </c>
      <c r="FA99" s="463">
        <f t="shared" si="166"/>
        <v>0</v>
      </c>
      <c r="FB99" s="463">
        <f t="shared" si="166"/>
        <v>0</v>
      </c>
      <c r="FC99" s="463">
        <f t="shared" si="166"/>
        <v>0</v>
      </c>
      <c r="FD99" s="463">
        <f>FD100+FD101</f>
        <v>0</v>
      </c>
      <c r="FE99" s="463">
        <f t="shared" si="166"/>
        <v>0</v>
      </c>
      <c r="FF99" s="463">
        <f t="shared" si="166"/>
        <v>0</v>
      </c>
      <c r="FG99" s="463">
        <f t="shared" si="166"/>
        <v>0</v>
      </c>
      <c r="FH99" s="463">
        <f t="shared" si="166"/>
        <v>0</v>
      </c>
      <c r="FI99" s="463">
        <f t="shared" si="166"/>
        <v>0</v>
      </c>
      <c r="FJ99" s="463">
        <f t="shared" si="166"/>
        <v>0</v>
      </c>
      <c r="FK99" s="463">
        <f aca="true" t="shared" si="167" ref="FK99:GF99">FK100+FK101</f>
        <v>0</v>
      </c>
      <c r="FL99" s="463">
        <f t="shared" si="167"/>
        <v>0</v>
      </c>
      <c r="FM99" s="463">
        <f t="shared" si="167"/>
        <v>0</v>
      </c>
      <c r="FN99" s="463">
        <f t="shared" si="167"/>
        <v>0</v>
      </c>
      <c r="FO99" s="463">
        <f t="shared" si="167"/>
        <v>0</v>
      </c>
      <c r="FP99" s="463">
        <f t="shared" si="167"/>
        <v>0</v>
      </c>
      <c r="FQ99" s="463">
        <f>FQ100+FQ101</f>
        <v>0</v>
      </c>
      <c r="FR99" s="463">
        <f t="shared" si="167"/>
        <v>0</v>
      </c>
      <c r="FS99" s="463">
        <f t="shared" si="167"/>
        <v>0</v>
      </c>
      <c r="FT99" s="463">
        <f>FT100+FT101</f>
        <v>0</v>
      </c>
      <c r="FU99" s="463">
        <f>FU100+FU101</f>
        <v>0</v>
      </c>
      <c r="FV99" s="463">
        <f>FV100+FV101</f>
        <v>0</v>
      </c>
      <c r="FW99" s="463">
        <f t="shared" si="167"/>
        <v>0</v>
      </c>
      <c r="FX99" s="463">
        <f>FX100+FX101</f>
        <v>0</v>
      </c>
      <c r="FY99" s="463"/>
      <c r="FZ99" s="463">
        <f t="shared" si="167"/>
        <v>0</v>
      </c>
      <c r="GA99" s="463">
        <f t="shared" si="167"/>
        <v>0</v>
      </c>
      <c r="GB99" s="463">
        <f t="shared" si="167"/>
        <v>0</v>
      </c>
      <c r="GC99" s="463">
        <f t="shared" si="167"/>
        <v>0</v>
      </c>
      <c r="GD99" s="463">
        <f t="shared" si="167"/>
        <v>0</v>
      </c>
      <c r="GE99" s="463">
        <f t="shared" si="167"/>
        <v>0</v>
      </c>
      <c r="GF99" s="463">
        <f t="shared" si="167"/>
        <v>0</v>
      </c>
      <c r="GG99" s="463">
        <f>GG100+GG101</f>
        <v>0</v>
      </c>
      <c r="GH99" s="463">
        <f>GH100+GH101</f>
        <v>28726295699</v>
      </c>
      <c r="GI99" s="462" t="s">
        <v>275</v>
      </c>
      <c r="GJ99" s="464">
        <f t="shared" si="162"/>
        <v>0.9966278853508199</v>
      </c>
      <c r="GK99" s="464"/>
      <c r="GL99" s="464"/>
      <c r="GM99" s="464"/>
      <c r="GN99" s="464"/>
    </row>
    <row r="100" spans="1:196" s="456" customFormat="1" ht="13.5" customHeight="1" hidden="1">
      <c r="A100" s="525"/>
      <c r="B100" s="526" t="s">
        <v>250</v>
      </c>
      <c r="C100" s="571">
        <f>D100+J100+AY100+CD100</f>
        <v>4444531774</v>
      </c>
      <c r="D100" s="571">
        <f>SUM(E100:I100)</f>
        <v>3784531774</v>
      </c>
      <c r="E100" s="527"/>
      <c r="F100" s="527"/>
      <c r="G100" s="527"/>
      <c r="H100" s="527"/>
      <c r="I100" s="527">
        <f>105318040+3679213734</f>
        <v>3784531774</v>
      </c>
      <c r="J100" s="571">
        <f>SUM(K100:AX100)</f>
        <v>0</v>
      </c>
      <c r="K100" s="527"/>
      <c r="L100" s="527"/>
      <c r="M100" s="527"/>
      <c r="N100" s="527"/>
      <c r="O100" s="527"/>
      <c r="P100" s="527"/>
      <c r="Q100" s="527"/>
      <c r="R100" s="527"/>
      <c r="S100" s="527"/>
      <c r="T100" s="527"/>
      <c r="U100" s="527"/>
      <c r="V100" s="527"/>
      <c r="W100" s="527"/>
      <c r="X100" s="527"/>
      <c r="Y100" s="527"/>
      <c r="Z100" s="527"/>
      <c r="AA100" s="527"/>
      <c r="AB100" s="527"/>
      <c r="AC100" s="527"/>
      <c r="AD100" s="527"/>
      <c r="AE100" s="527"/>
      <c r="AF100" s="527"/>
      <c r="AG100" s="527"/>
      <c r="AH100" s="527"/>
      <c r="AI100" s="527"/>
      <c r="AJ100" s="527"/>
      <c r="AK100" s="527"/>
      <c r="AL100" s="527"/>
      <c r="AM100" s="527"/>
      <c r="AN100" s="527"/>
      <c r="AO100" s="527"/>
      <c r="AP100" s="528"/>
      <c r="AQ100" s="528"/>
      <c r="AR100" s="528"/>
      <c r="AS100" s="527"/>
      <c r="AT100" s="527"/>
      <c r="AU100" s="527"/>
      <c r="AV100" s="527"/>
      <c r="AW100" s="527"/>
      <c r="AX100" s="527"/>
      <c r="AY100" s="571">
        <f>SUM(AZ100:BA100)</f>
        <v>0</v>
      </c>
      <c r="AZ100" s="571">
        <f>SUM(BB100:BI100)+SUM(BQ100:BX100)</f>
        <v>0</v>
      </c>
      <c r="BA100" s="571">
        <f>SUM(BJ100:BP100)+SUM(BY100:CC100)</f>
        <v>0</v>
      </c>
      <c r="BB100" s="527"/>
      <c r="BC100" s="527"/>
      <c r="BD100" s="527"/>
      <c r="BE100" s="527"/>
      <c r="BF100" s="527"/>
      <c r="BG100" s="527"/>
      <c r="BH100" s="527"/>
      <c r="BI100" s="527"/>
      <c r="BJ100" s="527"/>
      <c r="BK100" s="527"/>
      <c r="BL100" s="527"/>
      <c r="BM100" s="527"/>
      <c r="BN100" s="527"/>
      <c r="BO100" s="527"/>
      <c r="BP100" s="527"/>
      <c r="BQ100" s="527"/>
      <c r="BR100" s="527"/>
      <c r="BS100" s="527"/>
      <c r="BT100" s="527"/>
      <c r="BU100" s="527"/>
      <c r="BV100" s="527"/>
      <c r="BW100" s="527"/>
      <c r="BX100" s="527"/>
      <c r="BY100" s="527"/>
      <c r="BZ100" s="527"/>
      <c r="CA100" s="527"/>
      <c r="CB100" s="527"/>
      <c r="CC100" s="527"/>
      <c r="CD100" s="571">
        <f>SUM(CE100:CF100)</f>
        <v>660000000</v>
      </c>
      <c r="CE100" s="571">
        <f>SUM(CG100:CI100)</f>
        <v>660000000</v>
      </c>
      <c r="CF100" s="571">
        <f>SUM(CJ100:CQ100)</f>
        <v>0</v>
      </c>
      <c r="CG100" s="529"/>
      <c r="CH100" s="529"/>
      <c r="CI100" s="529">
        <v>660000000</v>
      </c>
      <c r="CJ100" s="529"/>
      <c r="CK100" s="529"/>
      <c r="CL100" s="529"/>
      <c r="CM100" s="529"/>
      <c r="CN100" s="530"/>
      <c r="CO100" s="529"/>
      <c r="CP100" s="529"/>
      <c r="CQ100" s="529"/>
      <c r="CR100" s="531" t="s">
        <v>250</v>
      </c>
      <c r="CS100" s="457">
        <f>CT100+CZ100+EO100+FT100+GH100</f>
        <v>4444531774</v>
      </c>
      <c r="CT100" s="457">
        <f>SUM(CU100:CY100)</f>
        <v>0</v>
      </c>
      <c r="CU100" s="529"/>
      <c r="CV100" s="529"/>
      <c r="CW100" s="529"/>
      <c r="CX100" s="529"/>
      <c r="CY100" s="529"/>
      <c r="CZ100" s="457">
        <f>SUM(DA100:EN100)</f>
        <v>0</v>
      </c>
      <c r="DA100" s="529"/>
      <c r="DB100" s="529"/>
      <c r="DC100" s="529"/>
      <c r="DD100" s="529"/>
      <c r="DE100" s="529"/>
      <c r="DF100" s="529"/>
      <c r="DG100" s="529"/>
      <c r="DH100" s="529"/>
      <c r="DI100" s="529"/>
      <c r="DJ100" s="529"/>
      <c r="DK100" s="529"/>
      <c r="DL100" s="529"/>
      <c r="DM100" s="529"/>
      <c r="DN100" s="529"/>
      <c r="DO100" s="529"/>
      <c r="DP100" s="529"/>
      <c r="DQ100" s="529"/>
      <c r="DR100" s="529"/>
      <c r="DS100" s="529"/>
      <c r="DT100" s="529"/>
      <c r="DU100" s="529"/>
      <c r="DV100" s="529"/>
      <c r="DW100" s="529"/>
      <c r="DX100" s="529"/>
      <c r="DY100" s="529"/>
      <c r="DZ100" s="529"/>
      <c r="EA100" s="529"/>
      <c r="EB100" s="529"/>
      <c r="EC100" s="529"/>
      <c r="ED100" s="529"/>
      <c r="EE100" s="529"/>
      <c r="EF100" s="530"/>
      <c r="EG100" s="530"/>
      <c r="EH100" s="530"/>
      <c r="EI100" s="529"/>
      <c r="EJ100" s="529"/>
      <c r="EK100" s="529"/>
      <c r="EL100" s="529"/>
      <c r="EM100" s="529"/>
      <c r="EN100" s="529"/>
      <c r="EO100" s="457">
        <f>SUM(EP100:EQ100)</f>
        <v>0</v>
      </c>
      <c r="EP100" s="457">
        <f>SUM(ER100:EY100)+SUM(FG100:FN100)</f>
        <v>0</v>
      </c>
      <c r="EQ100" s="457">
        <f>SUM(EZ100:FF100)+SUM(FO100:FS100)</f>
        <v>0</v>
      </c>
      <c r="ER100" s="529"/>
      <c r="ES100" s="529"/>
      <c r="ET100" s="529"/>
      <c r="EU100" s="529"/>
      <c r="EV100" s="529"/>
      <c r="EW100" s="529"/>
      <c r="EX100" s="529"/>
      <c r="EY100" s="529"/>
      <c r="EZ100" s="529"/>
      <c r="FA100" s="529"/>
      <c r="FB100" s="529"/>
      <c r="FC100" s="529"/>
      <c r="FD100" s="529"/>
      <c r="FE100" s="529"/>
      <c r="FF100" s="529"/>
      <c r="FG100" s="529"/>
      <c r="FH100" s="529"/>
      <c r="FI100" s="529"/>
      <c r="FJ100" s="529"/>
      <c r="FK100" s="529"/>
      <c r="FL100" s="529"/>
      <c r="FM100" s="529"/>
      <c r="FN100" s="529"/>
      <c r="FO100" s="529"/>
      <c r="FP100" s="529"/>
      <c r="FQ100" s="529"/>
      <c r="FR100" s="529"/>
      <c r="FS100" s="529"/>
      <c r="FT100" s="457">
        <f>SUM(FU100:FV100)</f>
        <v>0</v>
      </c>
      <c r="FU100" s="457">
        <f>SUM(FW100:FY100)</f>
        <v>0</v>
      </c>
      <c r="FV100" s="457">
        <f>SUM(FZ100:GG100)</f>
        <v>0</v>
      </c>
      <c r="FW100" s="529"/>
      <c r="FX100" s="529"/>
      <c r="FY100" s="529"/>
      <c r="FZ100" s="529"/>
      <c r="GA100" s="529"/>
      <c r="GB100" s="529"/>
      <c r="GC100" s="529"/>
      <c r="GD100" s="530"/>
      <c r="GE100" s="529"/>
      <c r="GF100" s="529"/>
      <c r="GG100" s="529"/>
      <c r="GH100" s="529">
        <f>3784531774+660000000</f>
        <v>4444531774</v>
      </c>
      <c r="GI100" s="529"/>
      <c r="GJ100" s="532">
        <f t="shared" si="162"/>
        <v>1</v>
      </c>
      <c r="GK100" s="532"/>
      <c r="GL100" s="532"/>
      <c r="GM100" s="532"/>
      <c r="GN100" s="532"/>
    </row>
    <row r="101" spans="1:196" s="456" customFormat="1" ht="13.5" customHeight="1" hidden="1">
      <c r="A101" s="461"/>
      <c r="B101" s="462" t="s">
        <v>251</v>
      </c>
      <c r="C101" s="463">
        <f>D101+J101+AY101+CD101</f>
        <v>24378960044</v>
      </c>
      <c r="D101" s="463">
        <f>SUM(E101:I101)</f>
        <v>0</v>
      </c>
      <c r="E101" s="463"/>
      <c r="F101" s="463"/>
      <c r="G101" s="463"/>
      <c r="H101" s="463"/>
      <c r="I101" s="463"/>
      <c r="J101" s="463">
        <f>SUM(K101:AX101)</f>
        <v>23955375515</v>
      </c>
      <c r="K101" s="463"/>
      <c r="L101" s="463"/>
      <c r="M101" s="463">
        <v>200659000</v>
      </c>
      <c r="N101" s="463">
        <v>546455500</v>
      </c>
      <c r="O101" s="463"/>
      <c r="P101" s="463"/>
      <c r="Q101" s="463"/>
      <c r="R101" s="463">
        <v>285276500</v>
      </c>
      <c r="S101" s="463">
        <v>24528000</v>
      </c>
      <c r="T101" s="463">
        <f>240828000+41224814+104942700</f>
        <v>386995514</v>
      </c>
      <c r="U101" s="463"/>
      <c r="V101" s="463"/>
      <c r="W101" s="463">
        <v>47118760</v>
      </c>
      <c r="X101" s="463">
        <v>13107328</v>
      </c>
      <c r="Y101" s="463">
        <v>37999000</v>
      </c>
      <c r="Z101" s="463"/>
      <c r="AA101" s="463"/>
      <c r="AB101" s="463"/>
      <c r="AC101" s="463">
        <v>48400000</v>
      </c>
      <c r="AD101" s="463"/>
      <c r="AE101" s="463"/>
      <c r="AF101" s="463">
        <v>1977307665</v>
      </c>
      <c r="AG101" s="463"/>
      <c r="AH101" s="463">
        <v>143146936</v>
      </c>
      <c r="AI101" s="463">
        <f>23000000+934000+7154570+99419000+112509000</f>
        <v>243016570</v>
      </c>
      <c r="AJ101" s="463">
        <f>147393500+10351300</f>
        <v>157744800</v>
      </c>
      <c r="AK101" s="463">
        <f>835899853+2915000+1151925232</f>
        <v>1990740085</v>
      </c>
      <c r="AL101" s="463">
        <f>12178000+1279299300</f>
        <v>1291477300</v>
      </c>
      <c r="AM101" s="463">
        <v>755903745</v>
      </c>
      <c r="AN101" s="463"/>
      <c r="AO101" s="463">
        <v>98210462</v>
      </c>
      <c r="AP101" s="463"/>
      <c r="AQ101" s="463">
        <v>345361083</v>
      </c>
      <c r="AR101" s="463">
        <v>100000</v>
      </c>
      <c r="AS101" s="463">
        <f>5000+904964811-288618000-86669784-3887180+5958793000</f>
        <v>6484587847</v>
      </c>
      <c r="AT101" s="463"/>
      <c r="AU101" s="463">
        <f>230191+527757+281062000+54250000</f>
        <v>336069948</v>
      </c>
      <c r="AV101" s="463"/>
      <c r="AW101" s="463"/>
      <c r="AX101" s="463">
        <f>8541169472</f>
        <v>8541169472</v>
      </c>
      <c r="AY101" s="463">
        <f>SUM(AZ101:BA101)</f>
        <v>44554969</v>
      </c>
      <c r="AZ101" s="463">
        <f>SUM(BB101:BI101)+SUM(BQ101:BX101)</f>
        <v>0</v>
      </c>
      <c r="BA101" s="463">
        <f>SUM(BJ101:BP101)+SUM(BY101:CC101)</f>
        <v>44554969</v>
      </c>
      <c r="BB101" s="463"/>
      <c r="BC101" s="463"/>
      <c r="BD101" s="463"/>
      <c r="BE101" s="463"/>
      <c r="BF101" s="463"/>
      <c r="BG101" s="463"/>
      <c r="BH101" s="463"/>
      <c r="BI101" s="463"/>
      <c r="BJ101" s="463">
        <v>37000</v>
      </c>
      <c r="BK101" s="463"/>
      <c r="BL101" s="463">
        <v>5720000</v>
      </c>
      <c r="BM101" s="463"/>
      <c r="BN101" s="463"/>
      <c r="BO101" s="463"/>
      <c r="BP101" s="463"/>
      <c r="BQ101" s="463"/>
      <c r="BR101" s="463"/>
      <c r="BS101" s="463"/>
      <c r="BT101" s="463"/>
      <c r="BU101" s="463"/>
      <c r="BV101" s="463"/>
      <c r="BW101" s="463"/>
      <c r="BX101" s="463"/>
      <c r="BY101" s="463">
        <v>1182500</v>
      </c>
      <c r="BZ101" s="463">
        <v>7000000</v>
      </c>
      <c r="CA101" s="463">
        <v>1920069</v>
      </c>
      <c r="CB101" s="463"/>
      <c r="CC101" s="463">
        <v>28695400</v>
      </c>
      <c r="CD101" s="463">
        <f>SUM(CE101:CF101)</f>
        <v>379029560</v>
      </c>
      <c r="CE101" s="463">
        <f>SUM(CG101:CI101)</f>
        <v>0</v>
      </c>
      <c r="CF101" s="463">
        <f>SUM(CJ101:CQ101)</f>
        <v>379029560</v>
      </c>
      <c r="CG101" s="463"/>
      <c r="CH101" s="463"/>
      <c r="CI101" s="463"/>
      <c r="CJ101" s="463">
        <v>190000000</v>
      </c>
      <c r="CK101" s="463">
        <v>105000000</v>
      </c>
      <c r="CL101" s="463"/>
      <c r="CM101" s="463"/>
      <c r="CN101" s="533">
        <v>84029560</v>
      </c>
      <c r="CO101" s="463"/>
      <c r="CP101" s="463"/>
      <c r="CQ101" s="463"/>
      <c r="CR101" s="531" t="s">
        <v>251</v>
      </c>
      <c r="CS101" s="457">
        <f>CT101+CZ101+EO101+FT101+GH101</f>
        <v>24281763925</v>
      </c>
      <c r="CT101" s="457">
        <f>SUM(CU101:CY101)</f>
        <v>0</v>
      </c>
      <c r="CU101" s="463"/>
      <c r="CV101" s="463"/>
      <c r="CW101" s="463"/>
      <c r="CX101" s="463"/>
      <c r="CY101" s="463"/>
      <c r="CZ101" s="457">
        <f>SUM(DA101:EN101)</f>
        <v>0</v>
      </c>
      <c r="DA101" s="463"/>
      <c r="DB101" s="463"/>
      <c r="DC101" s="463"/>
      <c r="DD101" s="463"/>
      <c r="DE101" s="463"/>
      <c r="DF101" s="463"/>
      <c r="DG101" s="463"/>
      <c r="DH101" s="463"/>
      <c r="DI101" s="463"/>
      <c r="DJ101" s="463"/>
      <c r="DK101" s="463"/>
      <c r="DL101" s="463"/>
      <c r="DM101" s="463"/>
      <c r="DN101" s="463"/>
      <c r="DO101" s="463"/>
      <c r="DP101" s="463"/>
      <c r="DQ101" s="463"/>
      <c r="DR101" s="463"/>
      <c r="DS101" s="463"/>
      <c r="DT101" s="463"/>
      <c r="DU101" s="463"/>
      <c r="DV101" s="463"/>
      <c r="DW101" s="463"/>
      <c r="DX101" s="463"/>
      <c r="DY101" s="463"/>
      <c r="DZ101" s="463"/>
      <c r="EA101" s="463"/>
      <c r="EB101" s="463"/>
      <c r="EC101" s="463"/>
      <c r="ED101" s="463"/>
      <c r="EE101" s="463"/>
      <c r="EF101" s="533"/>
      <c r="EG101" s="533"/>
      <c r="EH101" s="533"/>
      <c r="EI101" s="463"/>
      <c r="EJ101" s="463"/>
      <c r="EK101" s="463"/>
      <c r="EL101" s="463"/>
      <c r="EM101" s="463"/>
      <c r="EN101" s="463"/>
      <c r="EO101" s="457">
        <f>SUM(EP101:EQ101)</f>
        <v>0</v>
      </c>
      <c r="EP101" s="457">
        <f>SUM(ER101:EY101)+SUM(FG101:FN101)</f>
        <v>0</v>
      </c>
      <c r="EQ101" s="457">
        <f>SUM(EZ101:FF101)+SUM(FO101:FS101)</f>
        <v>0</v>
      </c>
      <c r="ER101" s="463"/>
      <c r="ES101" s="463"/>
      <c r="ET101" s="463"/>
      <c r="EU101" s="463"/>
      <c r="EV101" s="463"/>
      <c r="EW101" s="463"/>
      <c r="EX101" s="463"/>
      <c r="EY101" s="463"/>
      <c r="EZ101" s="463"/>
      <c r="FA101" s="463"/>
      <c r="FB101" s="463"/>
      <c r="FC101" s="463"/>
      <c r="FD101" s="463"/>
      <c r="FE101" s="463"/>
      <c r="FF101" s="463"/>
      <c r="FG101" s="463"/>
      <c r="FH101" s="463"/>
      <c r="FI101" s="463"/>
      <c r="FJ101" s="463"/>
      <c r="FK101" s="463"/>
      <c r="FL101" s="463"/>
      <c r="FM101" s="463"/>
      <c r="FN101" s="463"/>
      <c r="FO101" s="463"/>
      <c r="FP101" s="463"/>
      <c r="FQ101" s="463"/>
      <c r="FR101" s="463"/>
      <c r="FS101" s="463"/>
      <c r="FT101" s="457">
        <f>SUM(FU101:FV101)</f>
        <v>0</v>
      </c>
      <c r="FU101" s="457">
        <f>SUM(FW101:FY101)</f>
        <v>0</v>
      </c>
      <c r="FV101" s="457">
        <f>SUM(FZ101:GG101)</f>
        <v>0</v>
      </c>
      <c r="FW101" s="463"/>
      <c r="FX101" s="463"/>
      <c r="FY101" s="463"/>
      <c r="FZ101" s="463"/>
      <c r="GA101" s="463"/>
      <c r="GB101" s="463"/>
      <c r="GC101" s="463"/>
      <c r="GD101" s="533"/>
      <c r="GE101" s="463"/>
      <c r="GF101" s="463"/>
      <c r="GG101" s="463"/>
      <c r="GH101" s="463">
        <f>24440557136-576909000+295000000-5498740+30000+128584529</f>
        <v>24281763925</v>
      </c>
      <c r="GI101" s="463"/>
      <c r="GJ101" s="464">
        <f t="shared" si="162"/>
        <v>0.9960131146355473</v>
      </c>
      <c r="GK101" s="464"/>
      <c r="GL101" s="464"/>
      <c r="GM101" s="464"/>
      <c r="GN101" s="464"/>
    </row>
    <row r="102" spans="1:189" s="40" customFormat="1" ht="13.5" customHeight="1" hidden="1">
      <c r="A102" s="344"/>
      <c r="B102" s="245" t="s">
        <v>219</v>
      </c>
      <c r="C102" s="347"/>
      <c r="D102" s="347"/>
      <c r="E102" s="347"/>
      <c r="F102" s="347"/>
      <c r="G102" s="347"/>
      <c r="H102" s="347"/>
      <c r="I102" s="347"/>
      <c r="J102" s="347"/>
      <c r="K102" s="347"/>
      <c r="L102" s="347"/>
      <c r="M102" s="347"/>
      <c r="N102" s="347"/>
      <c r="O102" s="347"/>
      <c r="P102" s="347"/>
      <c r="Q102" s="347"/>
      <c r="R102" s="347"/>
      <c r="S102" s="347"/>
      <c r="T102" s="347"/>
      <c r="U102" s="347"/>
      <c r="V102" s="347"/>
      <c r="W102" s="347"/>
      <c r="X102" s="347"/>
      <c r="Y102" s="347"/>
      <c r="Z102" s="347"/>
      <c r="AA102" s="347"/>
      <c r="AB102" s="347"/>
      <c r="AC102" s="347"/>
      <c r="AD102" s="347"/>
      <c r="AE102" s="347"/>
      <c r="AF102" s="347"/>
      <c r="AG102" s="347"/>
      <c r="AH102" s="347"/>
      <c r="AI102" s="347"/>
      <c r="AJ102" s="347"/>
      <c r="AK102" s="347"/>
      <c r="AL102" s="347"/>
      <c r="AM102" s="347"/>
      <c r="AN102" s="347"/>
      <c r="AO102" s="347"/>
      <c r="AP102" s="347"/>
      <c r="AQ102" s="347"/>
      <c r="AR102" s="347"/>
      <c r="AS102" s="347"/>
      <c r="AT102" s="347"/>
      <c r="AU102" s="347"/>
      <c r="AV102" s="347"/>
      <c r="AW102" s="347"/>
      <c r="AX102" s="347"/>
      <c r="AY102" s="572"/>
      <c r="AZ102" s="572"/>
      <c r="BA102" s="572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245" t="s">
        <v>219</v>
      </c>
      <c r="CS102" s="342">
        <f>CS103+CS104</f>
        <v>45187635202</v>
      </c>
      <c r="CT102" s="342">
        <f>CT103+CT104</f>
        <v>9226019774</v>
      </c>
      <c r="CU102" s="342">
        <f aca="true" t="shared" si="168" ref="CU102:FJ102">CU103+CU104</f>
        <v>262718000</v>
      </c>
      <c r="CV102" s="342">
        <f>CV103+CV104</f>
        <v>3740670000</v>
      </c>
      <c r="CW102" s="342">
        <f>CW103+CW104</f>
        <v>0</v>
      </c>
      <c r="CX102" s="342">
        <f>CX103+CX104</f>
        <v>1438100000</v>
      </c>
      <c r="CY102" s="342">
        <f t="shared" si="168"/>
        <v>3784531774</v>
      </c>
      <c r="CZ102" s="342">
        <f t="shared" si="168"/>
        <v>26703296399</v>
      </c>
      <c r="DA102" s="342">
        <f t="shared" si="168"/>
        <v>0</v>
      </c>
      <c r="DB102" s="342">
        <f>DB103+DB104</f>
        <v>0</v>
      </c>
      <c r="DC102" s="342">
        <f t="shared" si="168"/>
        <v>200659000</v>
      </c>
      <c r="DD102" s="342">
        <f t="shared" si="168"/>
        <v>546455500</v>
      </c>
      <c r="DE102" s="342">
        <f t="shared" si="168"/>
        <v>0</v>
      </c>
      <c r="DF102" s="342">
        <f t="shared" si="168"/>
        <v>33152000</v>
      </c>
      <c r="DG102" s="342">
        <f t="shared" si="168"/>
        <v>16758000</v>
      </c>
      <c r="DH102" s="342">
        <f t="shared" si="168"/>
        <v>285276500</v>
      </c>
      <c r="DI102" s="342">
        <f>DI103+DI104</f>
        <v>24528000</v>
      </c>
      <c r="DJ102" s="342">
        <f t="shared" si="168"/>
        <v>386995514</v>
      </c>
      <c r="DK102" s="342">
        <f t="shared" si="168"/>
        <v>0</v>
      </c>
      <c r="DL102" s="342">
        <f>DL103+DL104</f>
        <v>0</v>
      </c>
      <c r="DM102" s="342">
        <f>DM103+DM104</f>
        <v>47118760</v>
      </c>
      <c r="DN102" s="342">
        <f t="shared" si="168"/>
        <v>13107328</v>
      </c>
      <c r="DO102" s="342">
        <f t="shared" si="168"/>
        <v>37999000</v>
      </c>
      <c r="DP102" s="342">
        <f t="shared" si="168"/>
        <v>0</v>
      </c>
      <c r="DQ102" s="342">
        <f t="shared" si="168"/>
        <v>0</v>
      </c>
      <c r="DR102" s="342">
        <f t="shared" si="168"/>
        <v>576909000</v>
      </c>
      <c r="DS102" s="342">
        <f t="shared" si="168"/>
        <v>48400000</v>
      </c>
      <c r="DT102" s="342">
        <f t="shared" si="168"/>
        <v>0</v>
      </c>
      <c r="DU102" s="342">
        <f t="shared" si="168"/>
        <v>94795000</v>
      </c>
      <c r="DV102" s="342">
        <f>DV103+DV104</f>
        <v>1977307665</v>
      </c>
      <c r="DW102" s="342">
        <f>DW103+DW104</f>
        <v>0</v>
      </c>
      <c r="DX102" s="342">
        <f>DX103+DX104</f>
        <v>143146936</v>
      </c>
      <c r="DY102" s="342">
        <f>DY103+DY104</f>
        <v>243016570</v>
      </c>
      <c r="DZ102" s="342">
        <f t="shared" si="168"/>
        <v>0</v>
      </c>
      <c r="EA102" s="342">
        <f t="shared" si="168"/>
        <v>1990740085</v>
      </c>
      <c r="EB102" s="342">
        <f t="shared" si="168"/>
        <v>1291299370</v>
      </c>
      <c r="EC102" s="342">
        <f t="shared" si="168"/>
        <v>2229406745</v>
      </c>
      <c r="ED102" s="342">
        <f t="shared" si="168"/>
        <v>0</v>
      </c>
      <c r="EE102" s="342">
        <f t="shared" si="168"/>
        <v>98210462</v>
      </c>
      <c r="EF102" s="342">
        <f t="shared" si="168"/>
        <v>650000000</v>
      </c>
      <c r="EG102" s="342">
        <f>EG103+EG104</f>
        <v>345361083</v>
      </c>
      <c r="EH102" s="342">
        <f>EH103+EH104</f>
        <v>3</v>
      </c>
      <c r="EI102" s="342">
        <f t="shared" si="168"/>
        <v>6489810847</v>
      </c>
      <c r="EJ102" s="342">
        <f t="shared" si="168"/>
        <v>0</v>
      </c>
      <c r="EK102" s="342">
        <f t="shared" si="168"/>
        <v>391673559</v>
      </c>
      <c r="EL102" s="342">
        <f>EL103+EL104</f>
        <v>0</v>
      </c>
      <c r="EM102" s="342">
        <f t="shared" si="168"/>
        <v>0</v>
      </c>
      <c r="EN102" s="342">
        <f t="shared" si="168"/>
        <v>8541169472</v>
      </c>
      <c r="EO102" s="342">
        <f>EO103+EO104</f>
        <v>8219289469</v>
      </c>
      <c r="EP102" s="342">
        <f>EP103+EP104</f>
        <v>8174734500</v>
      </c>
      <c r="EQ102" s="342">
        <f t="shared" si="168"/>
        <v>44554969</v>
      </c>
      <c r="ER102" s="342">
        <f t="shared" si="168"/>
        <v>198386500</v>
      </c>
      <c r="ES102" s="342">
        <f t="shared" si="168"/>
        <v>4956000</v>
      </c>
      <c r="ET102" s="342">
        <f t="shared" si="168"/>
        <v>0</v>
      </c>
      <c r="EU102" s="342">
        <f t="shared" si="168"/>
        <v>26850000</v>
      </c>
      <c r="EV102" s="342">
        <f>EV103+EV104</f>
        <v>0</v>
      </c>
      <c r="EW102" s="342">
        <f t="shared" si="168"/>
        <v>2833569000</v>
      </c>
      <c r="EX102" s="342">
        <f t="shared" si="168"/>
        <v>313546000</v>
      </c>
      <c r="EY102" s="342"/>
      <c r="EZ102" s="342">
        <f>EZ103+EZ104</f>
        <v>37000</v>
      </c>
      <c r="FA102" s="342">
        <f t="shared" si="168"/>
        <v>0</v>
      </c>
      <c r="FB102" s="342">
        <f t="shared" si="168"/>
        <v>5720000</v>
      </c>
      <c r="FC102" s="342">
        <f t="shared" si="168"/>
        <v>0</v>
      </c>
      <c r="FD102" s="342"/>
      <c r="FE102" s="342">
        <f t="shared" si="168"/>
        <v>0</v>
      </c>
      <c r="FF102" s="342">
        <f t="shared" si="168"/>
        <v>0</v>
      </c>
      <c r="FG102" s="342">
        <f t="shared" si="168"/>
        <v>1334605000</v>
      </c>
      <c r="FH102" s="342">
        <f t="shared" si="168"/>
        <v>2338538000</v>
      </c>
      <c r="FI102" s="342">
        <f t="shared" si="168"/>
        <v>314284000</v>
      </c>
      <c r="FJ102" s="342">
        <f t="shared" si="168"/>
        <v>0</v>
      </c>
      <c r="FK102" s="342">
        <f aca="true" t="shared" si="169" ref="FK102:GE102">FK103+FK104</f>
        <v>0</v>
      </c>
      <c r="FL102" s="342">
        <f t="shared" si="169"/>
        <v>0</v>
      </c>
      <c r="FM102" s="342">
        <f t="shared" si="169"/>
        <v>810000000</v>
      </c>
      <c r="FN102" s="342">
        <f t="shared" si="169"/>
        <v>0</v>
      </c>
      <c r="FO102" s="342">
        <f t="shared" si="169"/>
        <v>1182500</v>
      </c>
      <c r="FP102" s="342">
        <f t="shared" si="169"/>
        <v>7000000</v>
      </c>
      <c r="FQ102" s="342">
        <f>FQ103+FQ104</f>
        <v>1920069</v>
      </c>
      <c r="FR102" s="342">
        <f t="shared" si="169"/>
        <v>0</v>
      </c>
      <c r="FS102" s="342">
        <f t="shared" si="169"/>
        <v>28695400</v>
      </c>
      <c r="FT102" s="342">
        <f>FT103+FT104</f>
        <v>1039029560</v>
      </c>
      <c r="FU102" s="342">
        <f t="shared" si="169"/>
        <v>660000000</v>
      </c>
      <c r="FV102" s="342">
        <f t="shared" si="169"/>
        <v>379029560</v>
      </c>
      <c r="FW102" s="342">
        <f t="shared" si="169"/>
        <v>0</v>
      </c>
      <c r="FX102" s="342">
        <f>FX103+FX104</f>
        <v>0</v>
      </c>
      <c r="FY102" s="342"/>
      <c r="FZ102" s="342">
        <f t="shared" si="169"/>
        <v>190000000</v>
      </c>
      <c r="GA102" s="342">
        <f t="shared" si="169"/>
        <v>105000000</v>
      </c>
      <c r="GB102" s="342">
        <f t="shared" si="169"/>
        <v>0</v>
      </c>
      <c r="GC102" s="342">
        <f t="shared" si="169"/>
        <v>0</v>
      </c>
      <c r="GD102" s="342">
        <f t="shared" si="169"/>
        <v>84029560</v>
      </c>
      <c r="GE102" s="342">
        <f t="shared" si="169"/>
        <v>0</v>
      </c>
      <c r="GF102" s="342">
        <f>GF103+GF104</f>
        <v>0</v>
      </c>
      <c r="GG102" s="342">
        <f>GG103+GG104</f>
        <v>0</v>
      </c>
    </row>
    <row r="103" spans="1:189" s="42" customFormat="1" ht="13.5" customHeight="1" hidden="1">
      <c r="A103" s="345"/>
      <c r="B103" s="258" t="s">
        <v>250</v>
      </c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346"/>
      <c r="AY103" s="346"/>
      <c r="AZ103" s="346"/>
      <c r="BA103" s="346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258" t="s">
        <v>250</v>
      </c>
      <c r="CS103" s="573">
        <f>CT103+CZ103+EO103+FT103</f>
        <v>18060754274</v>
      </c>
      <c r="CT103" s="573">
        <f>SUM(CU103:CY103)</f>
        <v>9226019774</v>
      </c>
      <c r="CU103" s="44">
        <v>262718000</v>
      </c>
      <c r="CV103" s="44">
        <v>3740670000</v>
      </c>
      <c r="CW103" s="44"/>
      <c r="CX103" s="44">
        <v>1438100000</v>
      </c>
      <c r="CY103" s="44">
        <f>3679213734+105318040</f>
        <v>3784531774</v>
      </c>
      <c r="CZ103" s="573">
        <f>SUM(DA103:EN103)</f>
        <v>0</v>
      </c>
      <c r="DA103" s="343"/>
      <c r="DB103" s="343"/>
      <c r="DC103" s="343"/>
      <c r="DD103" s="343"/>
      <c r="DE103" s="343"/>
      <c r="DF103" s="343"/>
      <c r="DG103" s="343"/>
      <c r="DH103" s="343"/>
      <c r="DI103" s="343"/>
      <c r="DJ103" s="343"/>
      <c r="DK103" s="343"/>
      <c r="DL103" s="343"/>
      <c r="DM103" s="343"/>
      <c r="DN103" s="343"/>
      <c r="DO103" s="343"/>
      <c r="DP103" s="343"/>
      <c r="DQ103" s="343"/>
      <c r="DR103" s="343"/>
      <c r="DS103" s="343"/>
      <c r="DT103" s="343"/>
      <c r="DU103" s="343"/>
      <c r="DV103" s="343"/>
      <c r="DW103" s="343"/>
      <c r="DX103" s="343"/>
      <c r="DY103" s="343"/>
      <c r="DZ103" s="343"/>
      <c r="EA103" s="343"/>
      <c r="EB103" s="343"/>
      <c r="EC103" s="343"/>
      <c r="ED103" s="343"/>
      <c r="EE103" s="343"/>
      <c r="EF103" s="343"/>
      <c r="EG103" s="343"/>
      <c r="EH103" s="343"/>
      <c r="EI103" s="343"/>
      <c r="EJ103" s="343"/>
      <c r="EK103" s="343"/>
      <c r="EL103" s="343"/>
      <c r="EM103" s="343"/>
      <c r="EN103" s="343"/>
      <c r="EO103" s="573">
        <f>SUM(EP103:EQ103)</f>
        <v>8174734500</v>
      </c>
      <c r="EP103" s="573">
        <f>SUM(ER103:EX103)+SUM(FG103:FN103)</f>
        <v>8174734500</v>
      </c>
      <c r="EQ103" s="573">
        <f>SUM(EZ103:FF103)+SUM(FO103:FS103)</f>
        <v>0</v>
      </c>
      <c r="ER103" s="343">
        <f>215443500-30000-17027000</f>
        <v>198386500</v>
      </c>
      <c r="ES103" s="343">
        <v>4956000</v>
      </c>
      <c r="ET103" s="343"/>
      <c r="EU103" s="343">
        <v>26850000</v>
      </c>
      <c r="EV103" s="343"/>
      <c r="EW103" s="343">
        <f>2842021000-8452000</f>
        <v>2833569000</v>
      </c>
      <c r="EX103" s="343">
        <v>313546000</v>
      </c>
      <c r="EY103" s="343"/>
      <c r="EZ103" s="343"/>
      <c r="FA103" s="343"/>
      <c r="FB103" s="343"/>
      <c r="FC103" s="343"/>
      <c r="FD103" s="343"/>
      <c r="FE103" s="343"/>
      <c r="FF103" s="343"/>
      <c r="FG103" s="343">
        <v>1334605000</v>
      </c>
      <c r="FH103" s="343">
        <v>2338538000</v>
      </c>
      <c r="FI103" s="343">
        <v>314284000</v>
      </c>
      <c r="FJ103" s="343"/>
      <c r="FK103" s="343"/>
      <c r="FL103" s="343"/>
      <c r="FM103" s="343">
        <v>810000000</v>
      </c>
      <c r="FN103" s="343"/>
      <c r="FO103" s="343"/>
      <c r="FP103" s="343"/>
      <c r="FQ103" s="343"/>
      <c r="FR103" s="343"/>
      <c r="FS103" s="343"/>
      <c r="FT103" s="573">
        <f>SUM(FU103:FV103)</f>
        <v>660000000</v>
      </c>
      <c r="FU103" s="573">
        <f>SUM(FW103:FY103)</f>
        <v>660000000</v>
      </c>
      <c r="FV103" s="573">
        <f>SUM(FZ103:GG103)</f>
        <v>0</v>
      </c>
      <c r="FW103" s="343"/>
      <c r="FX103" s="343"/>
      <c r="FY103" s="343">
        <v>660000000</v>
      </c>
      <c r="FZ103" s="343"/>
      <c r="GA103" s="343"/>
      <c r="GB103" s="343"/>
      <c r="GC103" s="343"/>
      <c r="GD103" s="343"/>
      <c r="GE103" s="343"/>
      <c r="GF103" s="343"/>
      <c r="GG103" s="343"/>
    </row>
    <row r="104" spans="1:191" s="42" customFormat="1" ht="13.5" customHeight="1" hidden="1">
      <c r="A104" s="345"/>
      <c r="B104" s="258" t="s">
        <v>251</v>
      </c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346"/>
      <c r="AY104" s="346"/>
      <c r="AZ104" s="346"/>
      <c r="BA104" s="346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258" t="s">
        <v>251</v>
      </c>
      <c r="CS104" s="573">
        <f>CT104+CZ104+EO104+FT104</f>
        <v>27126880928</v>
      </c>
      <c r="CT104" s="573">
        <f>SUM(CU104:CY104)</f>
        <v>0</v>
      </c>
      <c r="CU104" s="43"/>
      <c r="CV104" s="43"/>
      <c r="CW104" s="43"/>
      <c r="CX104" s="43"/>
      <c r="CY104" s="43"/>
      <c r="CZ104" s="573">
        <f>SUM(DA104:EN104)</f>
        <v>26703296399</v>
      </c>
      <c r="DA104" s="343"/>
      <c r="DB104" s="343"/>
      <c r="DC104" s="343">
        <v>200659000</v>
      </c>
      <c r="DD104" s="343">
        <v>546455500</v>
      </c>
      <c r="DE104" s="343"/>
      <c r="DF104" s="343">
        <f>33152000</f>
        <v>33152000</v>
      </c>
      <c r="DG104" s="343">
        <f>16758000</f>
        <v>16758000</v>
      </c>
      <c r="DH104" s="343">
        <v>285276500</v>
      </c>
      <c r="DI104" s="343">
        <v>24528000</v>
      </c>
      <c r="DJ104" s="343">
        <v>386995514</v>
      </c>
      <c r="DK104" s="343"/>
      <c r="DL104" s="343"/>
      <c r="DM104" s="343">
        <v>47118760</v>
      </c>
      <c r="DN104" s="343">
        <v>13107328</v>
      </c>
      <c r="DO104" s="343">
        <v>37999000</v>
      </c>
      <c r="DP104" s="343"/>
      <c r="DQ104" s="343"/>
      <c r="DR104" s="343">
        <v>576909000</v>
      </c>
      <c r="DS104" s="343">
        <v>48400000</v>
      </c>
      <c r="DT104" s="343"/>
      <c r="DU104" s="343">
        <f>94795000</f>
        <v>94795000</v>
      </c>
      <c r="DV104" s="343">
        <v>1977307665</v>
      </c>
      <c r="DW104" s="343"/>
      <c r="DX104" s="343">
        <v>143146936</v>
      </c>
      <c r="DY104" s="343">
        <v>243016570</v>
      </c>
      <c r="DZ104" s="343"/>
      <c r="EA104" s="343">
        <f>1151925232+838814853</f>
        <v>1990740085</v>
      </c>
      <c r="EB104" s="343">
        <f>1303477370-12178000</f>
        <v>1291299370</v>
      </c>
      <c r="EC104" s="343">
        <f>1473503000+755903745</f>
        <v>2229406745</v>
      </c>
      <c r="ED104" s="343"/>
      <c r="EE104" s="343">
        <v>98210462</v>
      </c>
      <c r="EF104" s="343">
        <v>650000000</v>
      </c>
      <c r="EG104" s="343">
        <v>345361083</v>
      </c>
      <c r="EH104" s="343">
        <v>3</v>
      </c>
      <c r="EI104" s="343">
        <f>5964021000+525789847</f>
        <v>6489810847</v>
      </c>
      <c r="EJ104" s="343"/>
      <c r="EK104" s="343">
        <f>54250000+281062000+56361559</f>
        <v>391673559</v>
      </c>
      <c r="EL104" s="343"/>
      <c r="EM104" s="343"/>
      <c r="EN104" s="343">
        <v>8541169472</v>
      </c>
      <c r="EO104" s="573">
        <f>SUM(EP104:EQ104)</f>
        <v>44554969</v>
      </c>
      <c r="EP104" s="573">
        <f>SUM(ER104:EX104)+SUM(FG104:FN104)</f>
        <v>0</v>
      </c>
      <c r="EQ104" s="573">
        <f>SUM(EZ104:FF104)+SUM(FO104:FS104)</f>
        <v>44554969</v>
      </c>
      <c r="ER104" s="343"/>
      <c r="ES104" s="343"/>
      <c r="ET104" s="343"/>
      <c r="EU104" s="343"/>
      <c r="EV104" s="343"/>
      <c r="EW104" s="343"/>
      <c r="EX104" s="343"/>
      <c r="EY104" s="343"/>
      <c r="EZ104" s="343">
        <v>37000</v>
      </c>
      <c r="FA104" s="343"/>
      <c r="FB104" s="343">
        <v>5720000</v>
      </c>
      <c r="FC104" s="343"/>
      <c r="FD104" s="343"/>
      <c r="FE104" s="343"/>
      <c r="FF104" s="343"/>
      <c r="FG104" s="343"/>
      <c r="FH104" s="343"/>
      <c r="FI104" s="343"/>
      <c r="FJ104" s="343"/>
      <c r="FK104" s="343"/>
      <c r="FL104" s="343"/>
      <c r="FM104" s="343"/>
      <c r="FN104" s="343"/>
      <c r="FO104" s="343">
        <v>1182500</v>
      </c>
      <c r="FP104" s="343">
        <v>7000000</v>
      </c>
      <c r="FQ104" s="343">
        <v>1920069</v>
      </c>
      <c r="FR104" s="343"/>
      <c r="FS104" s="343">
        <v>28695400</v>
      </c>
      <c r="FT104" s="573">
        <f>SUM(FU104:FV104)</f>
        <v>379029560</v>
      </c>
      <c r="FU104" s="573">
        <f>SUM(FW104:FY104)</f>
        <v>0</v>
      </c>
      <c r="FV104" s="573">
        <f>SUM(FZ104:GG104)</f>
        <v>379029560</v>
      </c>
      <c r="FW104" s="343"/>
      <c r="FX104" s="343"/>
      <c r="FY104" s="343"/>
      <c r="FZ104" s="343">
        <v>190000000</v>
      </c>
      <c r="GA104" s="343">
        <v>105000000</v>
      </c>
      <c r="GB104" s="343"/>
      <c r="GC104" s="343"/>
      <c r="GD104" s="343">
        <v>84029560</v>
      </c>
      <c r="GE104" s="343"/>
      <c r="GF104" s="343"/>
      <c r="GG104" s="343"/>
      <c r="GH104" s="41"/>
      <c r="GI104" s="41"/>
    </row>
    <row r="105" spans="1:189" s="40" customFormat="1" ht="13.5" customHeight="1" hidden="1">
      <c r="A105" s="347"/>
      <c r="B105" s="245" t="s">
        <v>154</v>
      </c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41"/>
      <c r="AY105" s="41"/>
      <c r="AZ105" s="41"/>
      <c r="BA105" s="41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245" t="s">
        <v>154</v>
      </c>
      <c r="CS105" s="342">
        <f aca="true" t="shared" si="170" ref="CS105:CX105">CS106+CS107</f>
        <v>412633424</v>
      </c>
      <c r="CT105" s="342">
        <f>CT106+CT107</f>
        <v>943000</v>
      </c>
      <c r="CU105" s="342">
        <f t="shared" si="170"/>
        <v>0</v>
      </c>
      <c r="CV105" s="342">
        <f t="shared" si="170"/>
        <v>0</v>
      </c>
      <c r="CW105" s="342">
        <f t="shared" si="170"/>
        <v>943000</v>
      </c>
      <c r="CX105" s="342">
        <f t="shared" si="170"/>
        <v>0</v>
      </c>
      <c r="CY105" s="342">
        <f aca="true" t="shared" si="171" ref="CY105:DH105">CY106+CY107</f>
        <v>0</v>
      </c>
      <c r="CZ105" s="342">
        <f>CZ106+CZ107</f>
        <v>386034624</v>
      </c>
      <c r="DA105" s="342">
        <f t="shared" si="171"/>
        <v>15095000</v>
      </c>
      <c r="DB105" s="342">
        <f>DB106+DB107</f>
        <v>0</v>
      </c>
      <c r="DC105" s="342">
        <f t="shared" si="171"/>
        <v>0</v>
      </c>
      <c r="DD105" s="342">
        <f t="shared" si="171"/>
        <v>0</v>
      </c>
      <c r="DE105" s="342">
        <f t="shared" si="171"/>
        <v>0</v>
      </c>
      <c r="DF105" s="342">
        <f t="shared" si="171"/>
        <v>0</v>
      </c>
      <c r="DG105" s="342">
        <f t="shared" si="171"/>
        <v>0</v>
      </c>
      <c r="DH105" s="342">
        <f t="shared" si="171"/>
        <v>0</v>
      </c>
      <c r="DI105" s="342">
        <f>DI106+DI107</f>
        <v>0</v>
      </c>
      <c r="DJ105" s="342">
        <f aca="true" t="shared" si="172" ref="DJ105:FO105">DJ106+DJ107</f>
        <v>0</v>
      </c>
      <c r="DK105" s="342">
        <f t="shared" si="172"/>
        <v>0</v>
      </c>
      <c r="DL105" s="342">
        <f t="shared" si="172"/>
        <v>0</v>
      </c>
      <c r="DM105" s="342">
        <f t="shared" si="172"/>
        <v>0</v>
      </c>
      <c r="DN105" s="342">
        <f t="shared" si="172"/>
        <v>0</v>
      </c>
      <c r="DO105" s="342">
        <f t="shared" si="172"/>
        <v>0</v>
      </c>
      <c r="DP105" s="342">
        <f t="shared" si="172"/>
        <v>25000</v>
      </c>
      <c r="DQ105" s="342">
        <f t="shared" si="172"/>
        <v>3295000</v>
      </c>
      <c r="DR105" s="342">
        <f t="shared" si="172"/>
        <v>0</v>
      </c>
      <c r="DS105" s="342">
        <f t="shared" si="172"/>
        <v>0</v>
      </c>
      <c r="DT105" s="342">
        <f t="shared" si="172"/>
        <v>0</v>
      </c>
      <c r="DU105" s="342">
        <f t="shared" si="172"/>
        <v>84409036</v>
      </c>
      <c r="DV105" s="342">
        <f t="shared" si="172"/>
        <v>0</v>
      </c>
      <c r="DW105" s="342">
        <f t="shared" si="172"/>
        <v>0</v>
      </c>
      <c r="DX105" s="342">
        <f t="shared" si="172"/>
        <v>0</v>
      </c>
      <c r="DY105" s="342">
        <f t="shared" si="172"/>
        <v>0</v>
      </c>
      <c r="DZ105" s="342">
        <f t="shared" si="172"/>
        <v>157744800</v>
      </c>
      <c r="EA105" s="342">
        <f t="shared" si="172"/>
        <v>0</v>
      </c>
      <c r="EB105" s="342">
        <f t="shared" si="172"/>
        <v>12178000</v>
      </c>
      <c r="EC105" s="342">
        <f t="shared" si="172"/>
        <v>33196445</v>
      </c>
      <c r="ED105" s="342">
        <f t="shared" si="172"/>
        <v>100000</v>
      </c>
      <c r="EE105" s="342">
        <f t="shared" si="172"/>
        <v>0</v>
      </c>
      <c r="EF105" s="342">
        <f t="shared" si="172"/>
        <v>0</v>
      </c>
      <c r="EG105" s="342">
        <f t="shared" si="172"/>
        <v>0</v>
      </c>
      <c r="EH105" s="342">
        <f t="shared" si="172"/>
        <v>10215000</v>
      </c>
      <c r="EI105" s="342">
        <f t="shared" si="172"/>
        <v>68374543</v>
      </c>
      <c r="EJ105" s="342">
        <f t="shared" si="172"/>
        <v>0</v>
      </c>
      <c r="EK105" s="342">
        <f t="shared" si="172"/>
        <v>716800</v>
      </c>
      <c r="EL105" s="342">
        <f t="shared" si="172"/>
        <v>685000</v>
      </c>
      <c r="EM105" s="342">
        <f t="shared" si="172"/>
        <v>0</v>
      </c>
      <c r="EN105" s="342">
        <f t="shared" si="172"/>
        <v>0</v>
      </c>
      <c r="EO105" s="342">
        <f t="shared" si="172"/>
        <v>25479800</v>
      </c>
      <c r="EP105" s="342">
        <f t="shared" si="172"/>
        <v>25479800</v>
      </c>
      <c r="EQ105" s="342">
        <f t="shared" si="172"/>
        <v>0</v>
      </c>
      <c r="ER105" s="342">
        <f t="shared" si="172"/>
        <v>17027000</v>
      </c>
      <c r="ES105" s="342">
        <f t="shared" si="172"/>
        <v>0</v>
      </c>
      <c r="ET105" s="342">
        <f>ET106+ET107</f>
        <v>0</v>
      </c>
      <c r="EU105" s="342">
        <f>EU106+EU107</f>
        <v>0</v>
      </c>
      <c r="EV105" s="342">
        <f>EV106+EV107</f>
        <v>0</v>
      </c>
      <c r="EW105" s="342">
        <f t="shared" si="172"/>
        <v>8452000</v>
      </c>
      <c r="EX105" s="342">
        <f t="shared" si="172"/>
        <v>0</v>
      </c>
      <c r="EY105" s="342"/>
      <c r="EZ105" s="342">
        <f t="shared" si="172"/>
        <v>0</v>
      </c>
      <c r="FA105" s="342">
        <f t="shared" si="172"/>
        <v>0</v>
      </c>
      <c r="FB105" s="342">
        <f t="shared" si="172"/>
        <v>0</v>
      </c>
      <c r="FC105" s="342">
        <f t="shared" si="172"/>
        <v>0</v>
      </c>
      <c r="FD105" s="342"/>
      <c r="FE105" s="342">
        <f t="shared" si="172"/>
        <v>0</v>
      </c>
      <c r="FF105" s="342">
        <f t="shared" si="172"/>
        <v>0</v>
      </c>
      <c r="FG105" s="342">
        <f t="shared" si="172"/>
        <v>0</v>
      </c>
      <c r="FH105" s="342">
        <f t="shared" si="172"/>
        <v>800</v>
      </c>
      <c r="FI105" s="342">
        <f t="shared" si="172"/>
        <v>0</v>
      </c>
      <c r="FJ105" s="342">
        <f t="shared" si="172"/>
        <v>0</v>
      </c>
      <c r="FK105" s="342">
        <f t="shared" si="172"/>
        <v>0</v>
      </c>
      <c r="FL105" s="342">
        <f t="shared" si="172"/>
        <v>0</v>
      </c>
      <c r="FM105" s="342">
        <f t="shared" si="172"/>
        <v>0</v>
      </c>
      <c r="FN105" s="342">
        <f t="shared" si="172"/>
        <v>0</v>
      </c>
      <c r="FO105" s="342">
        <f t="shared" si="172"/>
        <v>0</v>
      </c>
      <c r="FP105" s="342">
        <f>FP106+FP107</f>
        <v>0</v>
      </c>
      <c r="FQ105" s="342">
        <f>FQ106+FQ107</f>
        <v>0</v>
      </c>
      <c r="FR105" s="342">
        <f>FR106+FR107</f>
        <v>0</v>
      </c>
      <c r="FS105" s="342">
        <f aca="true" t="shared" si="173" ref="FS105:GE105">FS106+FS107</f>
        <v>0</v>
      </c>
      <c r="FT105" s="342">
        <f t="shared" si="173"/>
        <v>176000</v>
      </c>
      <c r="FU105" s="342">
        <f t="shared" si="173"/>
        <v>176000</v>
      </c>
      <c r="FV105" s="342">
        <f t="shared" si="173"/>
        <v>0</v>
      </c>
      <c r="FW105" s="342">
        <f t="shared" si="173"/>
        <v>135000</v>
      </c>
      <c r="FX105" s="342">
        <f>FX106+FX107</f>
        <v>41000</v>
      </c>
      <c r="FY105" s="342">
        <f>FY106+FY107</f>
        <v>0</v>
      </c>
      <c r="FZ105" s="342">
        <f>FZ106+FZ107</f>
        <v>0</v>
      </c>
      <c r="GA105" s="342">
        <f t="shared" si="173"/>
        <v>0</v>
      </c>
      <c r="GB105" s="342">
        <f t="shared" si="173"/>
        <v>0</v>
      </c>
      <c r="GC105" s="342">
        <f t="shared" si="173"/>
        <v>0</v>
      </c>
      <c r="GD105" s="342">
        <f t="shared" si="173"/>
        <v>0</v>
      </c>
      <c r="GE105" s="342">
        <f t="shared" si="173"/>
        <v>0</v>
      </c>
      <c r="GF105" s="342">
        <f>GF106+GF107</f>
        <v>0</v>
      </c>
      <c r="GG105" s="342">
        <f>GG106+GG107</f>
        <v>0</v>
      </c>
    </row>
    <row r="106" spans="1:189" s="42" customFormat="1" ht="13.5" customHeight="1" hidden="1">
      <c r="A106" s="345"/>
      <c r="B106" s="258" t="s">
        <v>250</v>
      </c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258" t="s">
        <v>250</v>
      </c>
      <c r="CS106" s="573">
        <f>CT106+CZ106+EO106+FT106</f>
        <v>26598800</v>
      </c>
      <c r="CT106" s="573">
        <f>SUM(CU106:CY106)</f>
        <v>943000</v>
      </c>
      <c r="CU106" s="343">
        <f aca="true" t="shared" si="174" ref="CU106:CY107">E13-CU13-CU103</f>
        <v>0</v>
      </c>
      <c r="CV106" s="343">
        <f t="shared" si="174"/>
        <v>0</v>
      </c>
      <c r="CW106" s="343">
        <f t="shared" si="174"/>
        <v>943000</v>
      </c>
      <c r="CX106" s="343">
        <f t="shared" si="174"/>
        <v>0</v>
      </c>
      <c r="CY106" s="343">
        <f t="shared" si="174"/>
        <v>0</v>
      </c>
      <c r="CZ106" s="573">
        <f>SUM(DA106:EN106)</f>
        <v>0</v>
      </c>
      <c r="DA106" s="343">
        <f aca="true" t="shared" si="175" ref="DA106:DJ107">K13-DA13-DA103</f>
        <v>0</v>
      </c>
      <c r="DB106" s="343">
        <f t="shared" si="175"/>
        <v>0</v>
      </c>
      <c r="DC106" s="343">
        <f t="shared" si="175"/>
        <v>0</v>
      </c>
      <c r="DD106" s="343">
        <f t="shared" si="175"/>
        <v>0</v>
      </c>
      <c r="DE106" s="343">
        <f t="shared" si="175"/>
        <v>0</v>
      </c>
      <c r="DF106" s="343">
        <f t="shared" si="175"/>
        <v>0</v>
      </c>
      <c r="DG106" s="343">
        <f t="shared" si="175"/>
        <v>0</v>
      </c>
      <c r="DH106" s="343">
        <f t="shared" si="175"/>
        <v>0</v>
      </c>
      <c r="DI106" s="343">
        <f t="shared" si="175"/>
        <v>0</v>
      </c>
      <c r="DJ106" s="343">
        <f t="shared" si="175"/>
        <v>0</v>
      </c>
      <c r="DK106" s="343">
        <f aca="true" t="shared" si="176" ref="DK106:DT107">U13-DK13-DK103</f>
        <v>0</v>
      </c>
      <c r="DL106" s="343">
        <f t="shared" si="176"/>
        <v>0</v>
      </c>
      <c r="DM106" s="343">
        <f t="shared" si="176"/>
        <v>0</v>
      </c>
      <c r="DN106" s="343">
        <f t="shared" si="176"/>
        <v>0</v>
      </c>
      <c r="DO106" s="343">
        <f t="shared" si="176"/>
        <v>0</v>
      </c>
      <c r="DP106" s="343">
        <f t="shared" si="176"/>
        <v>0</v>
      </c>
      <c r="DQ106" s="343">
        <f t="shared" si="176"/>
        <v>0</v>
      </c>
      <c r="DR106" s="343">
        <f t="shared" si="176"/>
        <v>0</v>
      </c>
      <c r="DS106" s="343">
        <f t="shared" si="176"/>
        <v>0</v>
      </c>
      <c r="DT106" s="343">
        <f t="shared" si="176"/>
        <v>0</v>
      </c>
      <c r="DU106" s="343">
        <f>AE13-DU13-DU103</f>
        <v>0</v>
      </c>
      <c r="DV106" s="343">
        <f>AF13-DV13-DV103</f>
        <v>0</v>
      </c>
      <c r="DW106" s="343"/>
      <c r="DX106" s="343">
        <f aca="true" t="shared" si="177" ref="DX106:EG107">AH13-DX13-DX103</f>
        <v>0</v>
      </c>
      <c r="DY106" s="343">
        <f t="shared" si="177"/>
        <v>0</v>
      </c>
      <c r="DZ106" s="343">
        <f t="shared" si="177"/>
        <v>0</v>
      </c>
      <c r="EA106" s="343">
        <f t="shared" si="177"/>
        <v>0</v>
      </c>
      <c r="EB106" s="343">
        <f t="shared" si="177"/>
        <v>0</v>
      </c>
      <c r="EC106" s="343">
        <f t="shared" si="177"/>
        <v>0</v>
      </c>
      <c r="ED106" s="343">
        <f t="shared" si="177"/>
        <v>0</v>
      </c>
      <c r="EE106" s="343">
        <f t="shared" si="177"/>
        <v>0</v>
      </c>
      <c r="EF106" s="343">
        <f t="shared" si="177"/>
        <v>0</v>
      </c>
      <c r="EG106" s="343">
        <f t="shared" si="177"/>
        <v>0</v>
      </c>
      <c r="EH106" s="343">
        <f aca="true" t="shared" si="178" ref="EH106:EN107">AR13-EH13-EH103</f>
        <v>0</v>
      </c>
      <c r="EI106" s="343">
        <f t="shared" si="178"/>
        <v>0</v>
      </c>
      <c r="EJ106" s="343">
        <f t="shared" si="178"/>
        <v>0</v>
      </c>
      <c r="EK106" s="343">
        <f t="shared" si="178"/>
        <v>0</v>
      </c>
      <c r="EL106" s="343">
        <f t="shared" si="178"/>
        <v>0</v>
      </c>
      <c r="EM106" s="343">
        <f t="shared" si="178"/>
        <v>0</v>
      </c>
      <c r="EN106" s="343">
        <f t="shared" si="178"/>
        <v>0</v>
      </c>
      <c r="EO106" s="573">
        <f>SUM(EP106:EQ106)</f>
        <v>25479800</v>
      </c>
      <c r="EP106" s="573">
        <f>SUM(ER106:EX106)+SUM(FG106:FN106)</f>
        <v>25479800</v>
      </c>
      <c r="EQ106" s="573">
        <f>SUM(EZ106:FF106)+SUM(FO106:FS106)</f>
        <v>0</v>
      </c>
      <c r="ER106" s="343">
        <f aca="true" t="shared" si="179" ref="ER106:FA107">BB13-ER13-ER103</f>
        <v>17027000</v>
      </c>
      <c r="ES106" s="343">
        <f t="shared" si="179"/>
        <v>0</v>
      </c>
      <c r="ET106" s="343">
        <f t="shared" si="179"/>
        <v>0</v>
      </c>
      <c r="EU106" s="343">
        <f t="shared" si="179"/>
        <v>0</v>
      </c>
      <c r="EV106" s="343">
        <f t="shared" si="179"/>
        <v>0</v>
      </c>
      <c r="EW106" s="343">
        <f t="shared" si="179"/>
        <v>8452000</v>
      </c>
      <c r="EX106" s="343">
        <f t="shared" si="179"/>
        <v>0</v>
      </c>
      <c r="EY106" s="343">
        <f t="shared" si="179"/>
        <v>0</v>
      </c>
      <c r="EZ106" s="343">
        <f t="shared" si="179"/>
        <v>0</v>
      </c>
      <c r="FA106" s="343">
        <f t="shared" si="179"/>
        <v>0</v>
      </c>
      <c r="FB106" s="343">
        <f aca="true" t="shared" si="180" ref="FB106:FK107">BL13-FB13-FB103</f>
        <v>0</v>
      </c>
      <c r="FC106" s="343">
        <f t="shared" si="180"/>
        <v>0</v>
      </c>
      <c r="FD106" s="343">
        <f t="shared" si="180"/>
        <v>0</v>
      </c>
      <c r="FE106" s="343">
        <f t="shared" si="180"/>
        <v>0</v>
      </c>
      <c r="FF106" s="343">
        <f t="shared" si="180"/>
        <v>0</v>
      </c>
      <c r="FG106" s="343">
        <f t="shared" si="180"/>
        <v>0</v>
      </c>
      <c r="FH106" s="343">
        <f t="shared" si="180"/>
        <v>800</v>
      </c>
      <c r="FI106" s="343">
        <f t="shared" si="180"/>
        <v>0</v>
      </c>
      <c r="FJ106" s="343">
        <f t="shared" si="180"/>
        <v>0</v>
      </c>
      <c r="FK106" s="343">
        <f t="shared" si="180"/>
        <v>0</v>
      </c>
      <c r="FL106" s="343">
        <f aca="true" t="shared" si="181" ref="FL106:FS107">BV13-FL13-FL103</f>
        <v>0</v>
      </c>
      <c r="FM106" s="343">
        <f t="shared" si="181"/>
        <v>0</v>
      </c>
      <c r="FN106" s="343">
        <f t="shared" si="181"/>
        <v>0</v>
      </c>
      <c r="FO106" s="343">
        <f t="shared" si="181"/>
        <v>0</v>
      </c>
      <c r="FP106" s="343">
        <f t="shared" si="181"/>
        <v>0</v>
      </c>
      <c r="FQ106" s="343">
        <f t="shared" si="181"/>
        <v>0</v>
      </c>
      <c r="FR106" s="343">
        <f t="shared" si="181"/>
        <v>0</v>
      </c>
      <c r="FS106" s="343">
        <f t="shared" si="181"/>
        <v>0</v>
      </c>
      <c r="FT106" s="573">
        <f>SUM(FU106:FV106)</f>
        <v>176000</v>
      </c>
      <c r="FU106" s="573">
        <f>SUM(FW106:FY106)</f>
        <v>176000</v>
      </c>
      <c r="FV106" s="573">
        <f>SUM(FZ106:GG106)</f>
        <v>0</v>
      </c>
      <c r="FW106" s="343">
        <f aca="true" t="shared" si="182" ref="FW106:GG107">CG13-FW13-FW103</f>
        <v>135000</v>
      </c>
      <c r="FX106" s="343">
        <f t="shared" si="182"/>
        <v>41000</v>
      </c>
      <c r="FY106" s="343">
        <f t="shared" si="182"/>
        <v>0</v>
      </c>
      <c r="FZ106" s="343">
        <f t="shared" si="182"/>
        <v>0</v>
      </c>
      <c r="GA106" s="343">
        <f t="shared" si="182"/>
        <v>0</v>
      </c>
      <c r="GB106" s="343">
        <f t="shared" si="182"/>
        <v>0</v>
      </c>
      <c r="GC106" s="343">
        <f t="shared" si="182"/>
        <v>0</v>
      </c>
      <c r="GD106" s="343">
        <f t="shared" si="182"/>
        <v>0</v>
      </c>
      <c r="GE106" s="343">
        <f t="shared" si="182"/>
        <v>0</v>
      </c>
      <c r="GF106" s="343">
        <f t="shared" si="182"/>
        <v>0</v>
      </c>
      <c r="GG106" s="343">
        <f t="shared" si="182"/>
        <v>0</v>
      </c>
    </row>
    <row r="107" spans="1:189" s="42" customFormat="1" ht="13.5" customHeight="1" hidden="1">
      <c r="A107" s="345"/>
      <c r="B107" s="258" t="s">
        <v>251</v>
      </c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258" t="s">
        <v>251</v>
      </c>
      <c r="CS107" s="573">
        <f>CT107+CZ107+EO107+FT107</f>
        <v>386034624</v>
      </c>
      <c r="CT107" s="573">
        <f>SUM(CU107:CY107)</f>
        <v>0</v>
      </c>
      <c r="CU107" s="343">
        <f t="shared" si="174"/>
        <v>0</v>
      </c>
      <c r="CV107" s="343">
        <f t="shared" si="174"/>
        <v>0</v>
      </c>
      <c r="CW107" s="343">
        <f t="shared" si="174"/>
        <v>0</v>
      </c>
      <c r="CX107" s="343">
        <f t="shared" si="174"/>
        <v>0</v>
      </c>
      <c r="CY107" s="343">
        <f t="shared" si="174"/>
        <v>0</v>
      </c>
      <c r="CZ107" s="573">
        <f>SUM(DA107:EN107)</f>
        <v>386034624</v>
      </c>
      <c r="DA107" s="343">
        <f t="shared" si="175"/>
        <v>15095000</v>
      </c>
      <c r="DB107" s="343">
        <f t="shared" si="175"/>
        <v>0</v>
      </c>
      <c r="DC107" s="343">
        <f t="shared" si="175"/>
        <v>0</v>
      </c>
      <c r="DD107" s="343">
        <f t="shared" si="175"/>
        <v>0</v>
      </c>
      <c r="DE107" s="343">
        <f t="shared" si="175"/>
        <v>0</v>
      </c>
      <c r="DF107" s="343">
        <f t="shared" si="175"/>
        <v>0</v>
      </c>
      <c r="DG107" s="343">
        <f t="shared" si="175"/>
        <v>0</v>
      </c>
      <c r="DH107" s="343">
        <f t="shared" si="175"/>
        <v>0</v>
      </c>
      <c r="DI107" s="343">
        <f t="shared" si="175"/>
        <v>0</v>
      </c>
      <c r="DJ107" s="343">
        <f t="shared" si="175"/>
        <v>0</v>
      </c>
      <c r="DK107" s="343">
        <f t="shared" si="176"/>
        <v>0</v>
      </c>
      <c r="DL107" s="343">
        <f t="shared" si="176"/>
        <v>0</v>
      </c>
      <c r="DM107" s="343">
        <f t="shared" si="176"/>
        <v>0</v>
      </c>
      <c r="DN107" s="343">
        <f t="shared" si="176"/>
        <v>0</v>
      </c>
      <c r="DO107" s="343">
        <f t="shared" si="176"/>
        <v>0</v>
      </c>
      <c r="DP107" s="343">
        <f t="shared" si="176"/>
        <v>25000</v>
      </c>
      <c r="DQ107" s="343">
        <f t="shared" si="176"/>
        <v>3295000</v>
      </c>
      <c r="DR107" s="343">
        <f t="shared" si="176"/>
        <v>0</v>
      </c>
      <c r="DS107" s="343">
        <f t="shared" si="176"/>
        <v>0</v>
      </c>
      <c r="DT107" s="343">
        <f t="shared" si="176"/>
        <v>0</v>
      </c>
      <c r="DU107" s="343">
        <f>AE14-DU14-DU104</f>
        <v>84409036</v>
      </c>
      <c r="DV107" s="343">
        <f>AF14-DV14-DV104</f>
        <v>0</v>
      </c>
      <c r="DW107" s="343"/>
      <c r="DX107" s="343">
        <f t="shared" si="177"/>
        <v>0</v>
      </c>
      <c r="DY107" s="343">
        <f t="shared" si="177"/>
        <v>0</v>
      </c>
      <c r="DZ107" s="343">
        <f t="shared" si="177"/>
        <v>157744800</v>
      </c>
      <c r="EA107" s="343">
        <f t="shared" si="177"/>
        <v>0</v>
      </c>
      <c r="EB107" s="343">
        <f t="shared" si="177"/>
        <v>12178000</v>
      </c>
      <c r="EC107" s="343">
        <f t="shared" si="177"/>
        <v>33196445</v>
      </c>
      <c r="ED107" s="343">
        <f t="shared" si="177"/>
        <v>100000</v>
      </c>
      <c r="EE107" s="343">
        <f t="shared" si="177"/>
        <v>0</v>
      </c>
      <c r="EF107" s="343">
        <f t="shared" si="177"/>
        <v>0</v>
      </c>
      <c r="EG107" s="343">
        <f t="shared" si="177"/>
        <v>0</v>
      </c>
      <c r="EH107" s="343">
        <f t="shared" si="178"/>
        <v>10215000</v>
      </c>
      <c r="EI107" s="343">
        <f t="shared" si="178"/>
        <v>68374543</v>
      </c>
      <c r="EJ107" s="343">
        <f t="shared" si="178"/>
        <v>0</v>
      </c>
      <c r="EK107" s="343">
        <f t="shared" si="178"/>
        <v>716800</v>
      </c>
      <c r="EL107" s="343">
        <f t="shared" si="178"/>
        <v>685000</v>
      </c>
      <c r="EM107" s="343">
        <f t="shared" si="178"/>
        <v>0</v>
      </c>
      <c r="EN107" s="343">
        <f t="shared" si="178"/>
        <v>0</v>
      </c>
      <c r="EO107" s="573">
        <f>SUM(EP107:EQ107)</f>
        <v>0</v>
      </c>
      <c r="EP107" s="573">
        <f>SUM(ER107:EX107)+SUM(FG107:FN107)</f>
        <v>0</v>
      </c>
      <c r="EQ107" s="573">
        <f>SUM(EZ107:FF107)+SUM(FO107:FS107)</f>
        <v>0</v>
      </c>
      <c r="ER107" s="343">
        <f t="shared" si="179"/>
        <v>0</v>
      </c>
      <c r="ES107" s="343">
        <f t="shared" si="179"/>
        <v>0</v>
      </c>
      <c r="ET107" s="343">
        <f t="shared" si="179"/>
        <v>0</v>
      </c>
      <c r="EU107" s="343">
        <f t="shared" si="179"/>
        <v>0</v>
      </c>
      <c r="EV107" s="343">
        <f t="shared" si="179"/>
        <v>0</v>
      </c>
      <c r="EW107" s="343">
        <f t="shared" si="179"/>
        <v>0</v>
      </c>
      <c r="EX107" s="343">
        <f t="shared" si="179"/>
        <v>0</v>
      </c>
      <c r="EY107" s="343">
        <f t="shared" si="179"/>
        <v>0</v>
      </c>
      <c r="EZ107" s="343">
        <f t="shared" si="179"/>
        <v>0</v>
      </c>
      <c r="FA107" s="343">
        <f t="shared" si="179"/>
        <v>0</v>
      </c>
      <c r="FB107" s="343">
        <f t="shared" si="180"/>
        <v>0</v>
      </c>
      <c r="FC107" s="343">
        <f t="shared" si="180"/>
        <v>0</v>
      </c>
      <c r="FD107" s="343">
        <f t="shared" si="180"/>
        <v>0</v>
      </c>
      <c r="FE107" s="343">
        <f t="shared" si="180"/>
        <v>0</v>
      </c>
      <c r="FF107" s="343">
        <f t="shared" si="180"/>
        <v>0</v>
      </c>
      <c r="FG107" s="343">
        <f t="shared" si="180"/>
        <v>0</v>
      </c>
      <c r="FH107" s="343">
        <f t="shared" si="180"/>
        <v>0</v>
      </c>
      <c r="FI107" s="343">
        <f t="shared" si="180"/>
        <v>0</v>
      </c>
      <c r="FJ107" s="343">
        <f t="shared" si="180"/>
        <v>0</v>
      </c>
      <c r="FK107" s="343">
        <f t="shared" si="180"/>
        <v>0</v>
      </c>
      <c r="FL107" s="343">
        <f t="shared" si="181"/>
        <v>0</v>
      </c>
      <c r="FM107" s="343">
        <f t="shared" si="181"/>
        <v>0</v>
      </c>
      <c r="FN107" s="343">
        <f t="shared" si="181"/>
        <v>0</v>
      </c>
      <c r="FO107" s="343">
        <f t="shared" si="181"/>
        <v>0</v>
      </c>
      <c r="FP107" s="343">
        <f t="shared" si="181"/>
        <v>0</v>
      </c>
      <c r="FQ107" s="343">
        <f t="shared" si="181"/>
        <v>0</v>
      </c>
      <c r="FR107" s="343">
        <f t="shared" si="181"/>
        <v>0</v>
      </c>
      <c r="FS107" s="343">
        <f t="shared" si="181"/>
        <v>0</v>
      </c>
      <c r="FT107" s="573">
        <f>SUM(FU107:FV107)</f>
        <v>0</v>
      </c>
      <c r="FU107" s="573">
        <f>SUM(FW107:FY107)</f>
        <v>0</v>
      </c>
      <c r="FV107" s="573">
        <f>SUM(FZ107:GG107)</f>
        <v>0</v>
      </c>
      <c r="FW107" s="343">
        <f t="shared" si="182"/>
        <v>0</v>
      </c>
      <c r="FX107" s="343">
        <f t="shared" si="182"/>
        <v>0</v>
      </c>
      <c r="FY107" s="343">
        <f t="shared" si="182"/>
        <v>0</v>
      </c>
      <c r="FZ107" s="343">
        <f t="shared" si="182"/>
        <v>0</v>
      </c>
      <c r="GA107" s="343">
        <f t="shared" si="182"/>
        <v>0</v>
      </c>
      <c r="GB107" s="343">
        <f t="shared" si="182"/>
        <v>0</v>
      </c>
      <c r="GC107" s="343">
        <f t="shared" si="182"/>
        <v>0</v>
      </c>
      <c r="GD107" s="343">
        <f t="shared" si="182"/>
        <v>0</v>
      </c>
      <c r="GE107" s="343">
        <f t="shared" si="182"/>
        <v>0</v>
      </c>
      <c r="GF107" s="343">
        <f t="shared" si="182"/>
        <v>0</v>
      </c>
      <c r="GG107" s="343">
        <f t="shared" si="182"/>
        <v>0</v>
      </c>
    </row>
    <row r="108" spans="1:189" s="42" customFormat="1" ht="11.25">
      <c r="A108" s="255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256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</row>
    <row r="109" spans="1:189" s="42" customFormat="1" ht="11.25">
      <c r="A109" s="255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256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</row>
    <row r="110" spans="1:189" s="42" customFormat="1" ht="11.25">
      <c r="A110" s="255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256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</row>
    <row r="111" spans="1:189" s="42" customFormat="1" ht="11.25">
      <c r="A111" s="255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256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1"/>
      <c r="FL111" s="41"/>
      <c r="FM111" s="41"/>
      <c r="FN111" s="41"/>
      <c r="FO111" s="41"/>
      <c r="FP111" s="41"/>
      <c r="FQ111" s="41"/>
      <c r="FR111" s="41"/>
      <c r="FS111" s="41"/>
      <c r="FT111" s="41"/>
      <c r="FU111" s="41"/>
      <c r="FV111" s="41"/>
      <c r="FW111" s="41"/>
      <c r="FX111" s="41"/>
      <c r="FY111" s="41"/>
      <c r="FZ111" s="41"/>
      <c r="GA111" s="41"/>
      <c r="GB111" s="41"/>
      <c r="GC111" s="41"/>
      <c r="GD111" s="41"/>
      <c r="GE111" s="41"/>
      <c r="GF111" s="41"/>
      <c r="GG111" s="41"/>
    </row>
    <row r="112" spans="1:189" s="42" customFormat="1" ht="11.25">
      <c r="A112" s="255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256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  <c r="FL112" s="41"/>
      <c r="FM112" s="41"/>
      <c r="FN112" s="41"/>
      <c r="FO112" s="41"/>
      <c r="FP112" s="41"/>
      <c r="FQ112" s="41"/>
      <c r="FR112" s="41"/>
      <c r="FS112" s="41"/>
      <c r="FT112" s="41"/>
      <c r="FU112" s="41"/>
      <c r="FV112" s="41"/>
      <c r="FW112" s="41"/>
      <c r="FX112" s="41"/>
      <c r="FY112" s="41"/>
      <c r="FZ112" s="41"/>
      <c r="GA112" s="41"/>
      <c r="GB112" s="41"/>
      <c r="GC112" s="41"/>
      <c r="GD112" s="41"/>
      <c r="GE112" s="41"/>
      <c r="GF112" s="41"/>
      <c r="GG112" s="41"/>
    </row>
    <row r="113" spans="1:189" s="42" customFormat="1" ht="11.25">
      <c r="A113" s="255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256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  <c r="FK113" s="41"/>
      <c r="FL113" s="41"/>
      <c r="FM113" s="41"/>
      <c r="FN113" s="41"/>
      <c r="FO113" s="41"/>
      <c r="FP113" s="41"/>
      <c r="FQ113" s="41"/>
      <c r="FR113" s="41"/>
      <c r="FS113" s="41"/>
      <c r="FT113" s="41"/>
      <c r="FU113" s="41"/>
      <c r="FV113" s="41"/>
      <c r="FW113" s="41"/>
      <c r="FX113" s="41"/>
      <c r="FY113" s="41"/>
      <c r="FZ113" s="41"/>
      <c r="GA113" s="41"/>
      <c r="GB113" s="41"/>
      <c r="GC113" s="41"/>
      <c r="GD113" s="41"/>
      <c r="GE113" s="41"/>
      <c r="GF113" s="41"/>
      <c r="GG113" s="41"/>
    </row>
    <row r="114" spans="1:189" s="42" customFormat="1" ht="11.25">
      <c r="A114" s="255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256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  <c r="FK114" s="41"/>
      <c r="FL114" s="41"/>
      <c r="FM114" s="41"/>
      <c r="FN114" s="41"/>
      <c r="FO114" s="41"/>
      <c r="FP114" s="41"/>
      <c r="FQ114" s="41"/>
      <c r="FR114" s="41"/>
      <c r="FS114" s="41"/>
      <c r="FT114" s="41"/>
      <c r="FU114" s="41"/>
      <c r="FV114" s="41"/>
      <c r="FW114" s="41"/>
      <c r="FX114" s="41"/>
      <c r="FY114" s="41"/>
      <c r="FZ114" s="41"/>
      <c r="GA114" s="41"/>
      <c r="GB114" s="41"/>
      <c r="GC114" s="41"/>
      <c r="GD114" s="41"/>
      <c r="GE114" s="41"/>
      <c r="GF114" s="41"/>
      <c r="GG114" s="41"/>
    </row>
    <row r="115" spans="1:189" s="42" customFormat="1" ht="11.25">
      <c r="A115" s="255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256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  <c r="FK115" s="41"/>
      <c r="FL115" s="41"/>
      <c r="FM115" s="41"/>
      <c r="FN115" s="41"/>
      <c r="FO115" s="41"/>
      <c r="FP115" s="41"/>
      <c r="FQ115" s="41"/>
      <c r="FR115" s="41"/>
      <c r="FS115" s="41"/>
      <c r="FT115" s="41"/>
      <c r="FU115" s="41"/>
      <c r="FV115" s="41"/>
      <c r="FW115" s="41"/>
      <c r="FX115" s="41"/>
      <c r="FY115" s="41"/>
      <c r="FZ115" s="41"/>
      <c r="GA115" s="41"/>
      <c r="GB115" s="41"/>
      <c r="GC115" s="41"/>
      <c r="GD115" s="41"/>
      <c r="GE115" s="41"/>
      <c r="GF115" s="41"/>
      <c r="GG115" s="41"/>
    </row>
    <row r="116" spans="1:189" s="42" customFormat="1" ht="11.25">
      <c r="A116" s="255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256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  <c r="FK116" s="41"/>
      <c r="FL116" s="41"/>
      <c r="FM116" s="41"/>
      <c r="FN116" s="41"/>
      <c r="FO116" s="41"/>
      <c r="FP116" s="41"/>
      <c r="FQ116" s="41"/>
      <c r="FR116" s="41"/>
      <c r="FS116" s="41"/>
      <c r="FT116" s="41"/>
      <c r="FU116" s="41"/>
      <c r="FV116" s="41"/>
      <c r="FW116" s="41"/>
      <c r="FX116" s="41"/>
      <c r="FY116" s="41"/>
      <c r="FZ116" s="41"/>
      <c r="GA116" s="41"/>
      <c r="GB116" s="41"/>
      <c r="GC116" s="41"/>
      <c r="GD116" s="41"/>
      <c r="GE116" s="41"/>
      <c r="GF116" s="41"/>
      <c r="GG116" s="41"/>
    </row>
    <row r="117" spans="1:189" s="42" customFormat="1" ht="11.25">
      <c r="A117" s="255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256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  <c r="FF117" s="41"/>
      <c r="FG117" s="41"/>
      <c r="FH117" s="41"/>
      <c r="FI117" s="41"/>
      <c r="FJ117" s="41"/>
      <c r="FK117" s="41"/>
      <c r="FL117" s="41"/>
      <c r="FM117" s="41"/>
      <c r="FN117" s="41"/>
      <c r="FO117" s="41"/>
      <c r="FP117" s="41"/>
      <c r="FQ117" s="41"/>
      <c r="FR117" s="41"/>
      <c r="FS117" s="41"/>
      <c r="FT117" s="41"/>
      <c r="FU117" s="41"/>
      <c r="FV117" s="41"/>
      <c r="FW117" s="41"/>
      <c r="FX117" s="41"/>
      <c r="FY117" s="41"/>
      <c r="FZ117" s="41"/>
      <c r="GA117" s="41"/>
      <c r="GB117" s="41"/>
      <c r="GC117" s="41"/>
      <c r="GD117" s="41"/>
      <c r="GE117" s="41"/>
      <c r="GF117" s="41"/>
      <c r="GG117" s="41"/>
    </row>
    <row r="118" spans="1:189" s="540" customFormat="1" ht="11.25" hidden="1">
      <c r="A118" s="536"/>
      <c r="B118" s="537" t="s">
        <v>488</v>
      </c>
      <c r="C118" s="538">
        <f>120898550391-99852129</f>
        <v>120798698262</v>
      </c>
      <c r="D118" s="538"/>
      <c r="E118" s="538"/>
      <c r="F118" s="538"/>
      <c r="G118" s="538"/>
      <c r="H118" s="538" t="s">
        <v>609</v>
      </c>
      <c r="I118" s="538">
        <v>5010304751</v>
      </c>
      <c r="J118" s="538" t="s">
        <v>610</v>
      </c>
      <c r="K118" s="538" t="s">
        <v>31</v>
      </c>
      <c r="L118" s="538" t="s">
        <v>614</v>
      </c>
      <c r="M118" s="538">
        <f>113441851+28732400+400000</f>
        <v>142574251</v>
      </c>
      <c r="N118" s="538" t="s">
        <v>610</v>
      </c>
      <c r="O118" s="538"/>
      <c r="P118" s="538"/>
      <c r="Q118" s="538"/>
      <c r="R118" s="538"/>
      <c r="S118" s="538"/>
      <c r="T118" s="538"/>
      <c r="U118" s="538"/>
      <c r="V118" s="538"/>
      <c r="W118" s="538"/>
      <c r="X118" s="538"/>
      <c r="Y118" s="538"/>
      <c r="Z118" s="538"/>
      <c r="AA118" s="538"/>
      <c r="AB118" s="538"/>
      <c r="AC118" s="538"/>
      <c r="AD118" s="538"/>
      <c r="AE118" s="538"/>
      <c r="AF118" s="538"/>
      <c r="AG118" s="538"/>
      <c r="AH118" s="538"/>
      <c r="AI118" s="538"/>
      <c r="AJ118" s="538"/>
      <c r="AK118" s="538"/>
      <c r="AL118" s="538"/>
      <c r="AM118" s="538"/>
      <c r="AN118" s="538"/>
      <c r="AO118" s="538"/>
      <c r="AP118" s="538"/>
      <c r="AQ118" s="538"/>
      <c r="AR118" s="538"/>
      <c r="AS118" s="538"/>
      <c r="AT118" s="538"/>
      <c r="AU118" s="538"/>
      <c r="AV118" s="538"/>
      <c r="AW118" s="538"/>
      <c r="AX118" s="538"/>
      <c r="AY118" s="538"/>
      <c r="AZ118" s="538"/>
      <c r="BA118" s="538"/>
      <c r="BB118" s="538"/>
      <c r="BC118" s="538"/>
      <c r="BD118" s="538"/>
      <c r="BE118" s="538"/>
      <c r="BF118" s="538"/>
      <c r="BG118" s="538"/>
      <c r="BH118" s="538"/>
      <c r="BI118" s="538"/>
      <c r="BJ118" s="538"/>
      <c r="BK118" s="538"/>
      <c r="BL118" s="538"/>
      <c r="BM118" s="538"/>
      <c r="BN118" s="538"/>
      <c r="BO118" s="538"/>
      <c r="BP118" s="538"/>
      <c r="BQ118" s="538"/>
      <c r="BR118" s="538"/>
      <c r="BS118" s="538"/>
      <c r="BT118" s="538"/>
      <c r="BU118" s="538"/>
      <c r="BV118" s="538"/>
      <c r="BW118" s="538"/>
      <c r="BX118" s="538"/>
      <c r="BY118" s="538"/>
      <c r="BZ118" s="538"/>
      <c r="CA118" s="538"/>
      <c r="CB118" s="538"/>
      <c r="CC118" s="538"/>
      <c r="CD118" s="538"/>
      <c r="CE118" s="538"/>
      <c r="CF118" s="538"/>
      <c r="CG118" s="538"/>
      <c r="CH118" s="538"/>
      <c r="CI118" s="538"/>
      <c r="CJ118" s="538"/>
      <c r="CK118" s="538"/>
      <c r="CL118" s="538"/>
      <c r="CM118" s="538"/>
      <c r="CN118" s="538"/>
      <c r="CO118" s="538"/>
      <c r="CP118" s="538"/>
      <c r="CQ118" s="538"/>
      <c r="CR118" s="539"/>
      <c r="CT118" s="538"/>
      <c r="CU118" s="538"/>
      <c r="CV118" s="538"/>
      <c r="CW118" s="538"/>
      <c r="CX118" s="538"/>
      <c r="CY118" s="538"/>
      <c r="CZ118" s="538"/>
      <c r="DA118" s="538"/>
      <c r="DB118" s="538"/>
      <c r="DC118" s="538"/>
      <c r="DD118" s="538"/>
      <c r="DE118" s="538"/>
      <c r="DF118" s="538"/>
      <c r="DG118" s="538"/>
      <c r="DH118" s="538"/>
      <c r="DI118" s="538"/>
      <c r="DJ118" s="538"/>
      <c r="DK118" s="538"/>
      <c r="DL118" s="538"/>
      <c r="DM118" s="538">
        <f>83133850+17159890</f>
        <v>100293740</v>
      </c>
      <c r="DN118" s="538">
        <f>DO122+DV132</f>
        <v>-100293740</v>
      </c>
      <c r="DO118" s="538"/>
      <c r="DP118" s="538"/>
      <c r="DQ118" s="538"/>
      <c r="DR118" s="538"/>
      <c r="DS118" s="538"/>
      <c r="DT118" s="538">
        <v>199400000</v>
      </c>
      <c r="DU118" s="538">
        <f>DM118+DT118</f>
        <v>299693740</v>
      </c>
      <c r="DV118" s="538"/>
      <c r="DW118" s="538"/>
      <c r="DX118" s="538"/>
      <c r="DY118" s="538"/>
      <c r="DZ118" s="538"/>
      <c r="EA118" s="538"/>
      <c r="EB118" s="538"/>
      <c r="EC118" s="538"/>
      <c r="ED118" s="538"/>
      <c r="EE118" s="538"/>
      <c r="EF118" s="538"/>
      <c r="EG118" s="538"/>
      <c r="EH118" s="538"/>
      <c r="EI118" s="538"/>
      <c r="EJ118" s="538"/>
      <c r="EK118" s="538"/>
      <c r="EL118" s="538"/>
      <c r="EM118" s="538"/>
      <c r="EN118" s="538"/>
      <c r="EO118" s="538"/>
      <c r="EP118" s="538"/>
      <c r="EQ118" s="538"/>
      <c r="ER118" s="538"/>
      <c r="ES118" s="538"/>
      <c r="ET118" s="538"/>
      <c r="EU118" s="538"/>
      <c r="EV118" s="538"/>
      <c r="EW118" s="538"/>
      <c r="EX118" s="538"/>
      <c r="EY118" s="538"/>
      <c r="EZ118" s="538"/>
      <c r="FA118" s="538"/>
      <c r="FB118" s="538"/>
      <c r="FC118" s="538"/>
      <c r="FD118" s="538"/>
      <c r="FE118" s="538"/>
      <c r="FF118" s="538"/>
      <c r="FG118" s="538"/>
      <c r="FH118" s="538"/>
      <c r="FI118" s="538"/>
      <c r="FJ118" s="538"/>
      <c r="FK118" s="538"/>
      <c r="FL118" s="538"/>
      <c r="FM118" s="538"/>
      <c r="FN118" s="538"/>
      <c r="FO118" s="538"/>
      <c r="FP118" s="538"/>
      <c r="FQ118" s="538"/>
      <c r="FR118" s="538"/>
      <c r="FS118" s="538"/>
      <c r="FT118" s="538"/>
      <c r="FU118" s="538"/>
      <c r="FV118" s="538"/>
      <c r="FW118" s="538"/>
      <c r="FX118" s="538"/>
      <c r="FY118" s="538"/>
      <c r="FZ118" s="538"/>
      <c r="GA118" s="538"/>
      <c r="GB118" s="538"/>
      <c r="GC118" s="538"/>
      <c r="GD118" s="538"/>
      <c r="GE118" s="538"/>
      <c r="GF118" s="538"/>
      <c r="GG118" s="538"/>
    </row>
    <row r="119" spans="1:189" s="42" customFormat="1" ht="11.25" hidden="1">
      <c r="A119" s="255"/>
      <c r="B119" s="256" t="s">
        <v>436</v>
      </c>
      <c r="C119" s="41">
        <f>C12+C118</f>
        <v>757606985902</v>
      </c>
      <c r="D119" s="41">
        <v>757194352478</v>
      </c>
      <c r="E119" s="41"/>
      <c r="F119" s="41"/>
      <c r="G119" s="41"/>
      <c r="H119" s="41"/>
      <c r="I119" s="41">
        <v>592481509</v>
      </c>
      <c r="J119" s="41" t="s">
        <v>611</v>
      </c>
      <c r="K119" s="41"/>
      <c r="L119" s="41"/>
      <c r="M119" s="41">
        <v>592481509</v>
      </c>
      <c r="N119" s="41" t="s">
        <v>611</v>
      </c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256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 t="s">
        <v>596</v>
      </c>
      <c r="DN119" s="41"/>
      <c r="DO119" s="41"/>
      <c r="DP119" s="41"/>
      <c r="DQ119" s="41"/>
      <c r="DR119" s="41"/>
      <c r="DS119" s="41"/>
      <c r="DT119" s="41" t="s">
        <v>597</v>
      </c>
      <c r="DU119" s="41" t="s">
        <v>598</v>
      </c>
      <c r="DV119" s="41"/>
      <c r="DW119" s="41"/>
      <c r="DX119" s="41"/>
      <c r="DY119" s="41"/>
      <c r="DZ119" s="41" t="s">
        <v>587</v>
      </c>
      <c r="EA119" s="41"/>
      <c r="EB119" s="41" t="s">
        <v>587</v>
      </c>
      <c r="EC119" s="41" t="s">
        <v>588</v>
      </c>
      <c r="ED119" s="41" t="s">
        <v>589</v>
      </c>
      <c r="EE119" s="41"/>
      <c r="EF119" s="41"/>
      <c r="EG119" s="41"/>
      <c r="EH119" s="41" t="s">
        <v>590</v>
      </c>
      <c r="EI119" s="41" t="s">
        <v>591</v>
      </c>
      <c r="EJ119" s="41"/>
      <c r="EK119" s="41" t="s">
        <v>253</v>
      </c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  <c r="FF119" s="41"/>
      <c r="FG119" s="41"/>
      <c r="FH119" s="41"/>
      <c r="FI119" s="41"/>
      <c r="FJ119" s="41"/>
      <c r="FK119" s="41"/>
      <c r="FL119" s="41"/>
      <c r="FM119" s="41"/>
      <c r="FN119" s="41"/>
      <c r="FO119" s="41"/>
      <c r="FP119" s="41"/>
      <c r="FQ119" s="41"/>
      <c r="FR119" s="41"/>
      <c r="FS119" s="41"/>
      <c r="FT119" s="41"/>
      <c r="FU119" s="41"/>
      <c r="FV119" s="41"/>
      <c r="FW119" s="41"/>
      <c r="FX119" s="41"/>
      <c r="FY119" s="41"/>
      <c r="FZ119" s="41"/>
      <c r="GA119" s="41"/>
      <c r="GB119" s="41"/>
      <c r="GC119" s="41"/>
      <c r="GD119" s="41"/>
      <c r="GE119" s="41"/>
      <c r="GF119" s="41"/>
      <c r="GG119" s="41"/>
    </row>
    <row r="120" spans="1:189" s="42" customFormat="1" ht="11.25" hidden="1">
      <c r="A120" s="255"/>
      <c r="B120" s="256" t="s">
        <v>489</v>
      </c>
      <c r="C120" s="41">
        <f>767723937143</f>
        <v>767723937143</v>
      </c>
      <c r="D120" s="281" t="s">
        <v>625</v>
      </c>
      <c r="E120" s="41"/>
      <c r="F120" s="41"/>
      <c r="G120" s="41"/>
      <c r="H120" s="39"/>
      <c r="I120" s="39">
        <f>I118+I119</f>
        <v>5602786260</v>
      </c>
      <c r="J120" s="39" t="s">
        <v>436</v>
      </c>
      <c r="K120" s="39"/>
      <c r="L120" s="39"/>
      <c r="M120" s="39">
        <f>M118+M119</f>
        <v>735055760</v>
      </c>
      <c r="N120" s="39" t="s">
        <v>436</v>
      </c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256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  <c r="FF120" s="41"/>
      <c r="FG120" s="41"/>
      <c r="FH120" s="41"/>
      <c r="FI120" s="41"/>
      <c r="FJ120" s="41"/>
      <c r="FK120" s="41"/>
      <c r="FL120" s="41"/>
      <c r="FM120" s="41"/>
      <c r="FN120" s="41"/>
      <c r="FO120" s="41"/>
      <c r="FP120" s="41"/>
      <c r="FQ120" s="41"/>
      <c r="FR120" s="41"/>
      <c r="FS120" s="41"/>
      <c r="FT120" s="41"/>
      <c r="FU120" s="41"/>
      <c r="FV120" s="41"/>
      <c r="FW120" s="41"/>
      <c r="FX120" s="41"/>
      <c r="FY120" s="41"/>
      <c r="FZ120" s="41"/>
      <c r="GA120" s="41"/>
      <c r="GB120" s="41"/>
      <c r="GC120" s="41"/>
      <c r="GD120" s="41"/>
      <c r="GE120" s="41"/>
      <c r="GF120" s="41"/>
      <c r="GG120" s="41"/>
    </row>
    <row r="121" spans="1:189" s="42" customFormat="1" ht="11.25" hidden="1">
      <c r="A121" s="255"/>
      <c r="B121" s="256" t="s">
        <v>490</v>
      </c>
      <c r="C121" s="41">
        <f>C120-C119</f>
        <v>10116951241</v>
      </c>
      <c r="D121" s="41" t="s">
        <v>641</v>
      </c>
      <c r="E121" s="41"/>
      <c r="F121" s="41"/>
      <c r="G121" s="41"/>
      <c r="H121" s="41"/>
      <c r="I121" s="41">
        <v>124540000</v>
      </c>
      <c r="J121" s="41" t="s">
        <v>612</v>
      </c>
      <c r="K121" s="41"/>
      <c r="L121" s="41"/>
      <c r="M121" s="41">
        <v>124540000</v>
      </c>
      <c r="N121" s="41" t="s">
        <v>612</v>
      </c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395" t="s">
        <v>599</v>
      </c>
      <c r="DM121" s="396" t="s">
        <v>6</v>
      </c>
      <c r="DN121" s="395" t="s">
        <v>600</v>
      </c>
      <c r="DO121" s="395" t="s">
        <v>601</v>
      </c>
      <c r="DP121" s="395"/>
      <c r="DQ121" s="395"/>
      <c r="DR121" s="395"/>
      <c r="DS121" s="395"/>
      <c r="DT121" s="396" t="s">
        <v>6</v>
      </c>
      <c r="DU121" s="395" t="s">
        <v>600</v>
      </c>
      <c r="DV121" s="395" t="s">
        <v>601</v>
      </c>
      <c r="DW121" s="524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M121" s="41"/>
      <c r="FN121" s="41"/>
      <c r="FO121" s="41"/>
      <c r="FP121" s="41"/>
      <c r="FQ121" s="41"/>
      <c r="FR121" s="41"/>
      <c r="FS121" s="41"/>
      <c r="FT121" s="41"/>
      <c r="FU121" s="41"/>
      <c r="FV121" s="41"/>
      <c r="FW121" s="41"/>
      <c r="FX121" s="41"/>
      <c r="FY121" s="41"/>
      <c r="FZ121" s="41"/>
      <c r="GA121" s="41"/>
      <c r="GB121" s="41"/>
      <c r="GC121" s="41"/>
      <c r="GD121" s="41"/>
      <c r="GE121" s="41"/>
      <c r="GF121" s="41"/>
      <c r="GG121" s="41"/>
    </row>
    <row r="122" spans="1:189" s="42" customFormat="1" ht="11.25" hidden="1">
      <c r="A122" s="255"/>
      <c r="D122" s="41"/>
      <c r="E122" s="41"/>
      <c r="F122" s="41"/>
      <c r="G122" s="41"/>
      <c r="H122" s="41"/>
      <c r="I122" s="41">
        <v>5478246260</v>
      </c>
      <c r="J122" s="41" t="s">
        <v>613</v>
      </c>
      <c r="K122" s="41"/>
      <c r="L122" s="41"/>
      <c r="M122" s="41">
        <f>M120-M121</f>
        <v>610515760</v>
      </c>
      <c r="N122" s="41" t="s">
        <v>613</v>
      </c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256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396"/>
      <c r="DM122" s="395">
        <v>955000000</v>
      </c>
      <c r="DN122" s="395">
        <v>1038133850</v>
      </c>
      <c r="DO122" s="395">
        <f>DM122-DN122</f>
        <v>-83133850</v>
      </c>
      <c r="DP122" s="395"/>
      <c r="DQ122" s="395"/>
      <c r="DR122" s="395"/>
      <c r="DS122" s="395"/>
      <c r="DT122" s="395">
        <v>11436414910</v>
      </c>
      <c r="DU122" s="395">
        <v>11652974800</v>
      </c>
      <c r="DV122" s="395">
        <f>DT122-DU122</f>
        <v>-216559890</v>
      </c>
      <c r="DW122" s="524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1"/>
      <c r="FK122" s="41"/>
      <c r="FL122" s="41"/>
      <c r="FM122" s="41"/>
      <c r="FN122" s="41"/>
      <c r="FO122" s="41"/>
      <c r="FP122" s="41"/>
      <c r="FQ122" s="41"/>
      <c r="FR122" s="41"/>
      <c r="FS122" s="41"/>
      <c r="FT122" s="41"/>
      <c r="FU122" s="41"/>
      <c r="FV122" s="41"/>
      <c r="FW122" s="41"/>
      <c r="FX122" s="41"/>
      <c r="FY122" s="41"/>
      <c r="FZ122" s="41"/>
      <c r="GA122" s="41"/>
      <c r="GB122" s="41"/>
      <c r="GC122" s="41"/>
      <c r="GD122" s="41"/>
      <c r="GE122" s="41"/>
      <c r="GF122" s="41"/>
      <c r="GG122" s="41"/>
    </row>
    <row r="123" spans="1:189" s="42" customFormat="1" ht="15" customHeight="1" hidden="1">
      <c r="A123" s="255"/>
      <c r="B123" s="256" t="s">
        <v>510</v>
      </c>
      <c r="C123" s="395">
        <f>3679213734+2800000000</f>
        <v>6479213734</v>
      </c>
      <c r="D123" s="574">
        <f>C123+C124</f>
        <v>15020383206</v>
      </c>
      <c r="E123" s="41">
        <f>47250000000-6000000000</f>
        <v>41250000000</v>
      </c>
      <c r="F123" s="41" t="s">
        <v>497</v>
      </c>
      <c r="G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256"/>
      <c r="CS123" s="41"/>
      <c r="CT123" s="41"/>
      <c r="CU123" s="708"/>
      <c r="CV123" s="708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395"/>
      <c r="DM123" s="395"/>
      <c r="DN123" s="395"/>
      <c r="DO123" s="395"/>
      <c r="DP123" s="395"/>
      <c r="DQ123" s="395"/>
      <c r="DR123" s="395"/>
      <c r="DS123" s="395" t="s">
        <v>602</v>
      </c>
      <c r="DT123" s="395">
        <v>802373907</v>
      </c>
      <c r="DU123" s="395" t="s">
        <v>603</v>
      </c>
      <c r="DV123" s="395"/>
      <c r="DW123" s="524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  <c r="FF123" s="41"/>
      <c r="FG123" s="41"/>
      <c r="FH123" s="41"/>
      <c r="FI123" s="41"/>
      <c r="FJ123" s="41"/>
      <c r="FK123" s="41"/>
      <c r="FL123" s="41"/>
      <c r="FM123" s="41"/>
      <c r="FN123" s="41"/>
      <c r="FO123" s="41"/>
      <c r="FP123" s="41"/>
      <c r="FQ123" s="41"/>
      <c r="FR123" s="41"/>
      <c r="FS123" s="41"/>
      <c r="FT123" s="41"/>
      <c r="FU123" s="41"/>
      <c r="FV123" s="41"/>
      <c r="FW123" s="41"/>
      <c r="FX123" s="41"/>
      <c r="FY123" s="41"/>
      <c r="FZ123" s="41"/>
      <c r="GA123" s="41"/>
      <c r="GB123" s="41"/>
      <c r="GC123" s="41"/>
      <c r="GD123" s="41"/>
      <c r="GE123" s="41"/>
      <c r="GF123" s="41"/>
      <c r="GG123" s="41"/>
    </row>
    <row r="124" spans="1:189" s="42" customFormat="1" ht="15" customHeight="1" hidden="1">
      <c r="A124" s="255"/>
      <c r="B124" s="256" t="s">
        <v>491</v>
      </c>
      <c r="C124" s="395">
        <v>8541169472</v>
      </c>
      <c r="D124" s="575"/>
      <c r="E124" s="41">
        <f>8252000000-3200000000</f>
        <v>5052000000</v>
      </c>
      <c r="F124" s="41" t="s">
        <v>629</v>
      </c>
      <c r="G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256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395"/>
      <c r="DM124" s="395"/>
      <c r="DN124" s="395"/>
      <c r="DO124" s="395"/>
      <c r="DP124" s="395"/>
      <c r="DQ124" s="395"/>
      <c r="DR124" s="395"/>
      <c r="DS124" s="395"/>
      <c r="DT124" s="395">
        <v>41041003</v>
      </c>
      <c r="DU124" s="395" t="s">
        <v>604</v>
      </c>
      <c r="DV124" s="395" t="s">
        <v>605</v>
      </c>
      <c r="DW124" s="524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  <c r="FF124" s="41"/>
      <c r="FG124" s="41"/>
      <c r="FH124" s="41"/>
      <c r="FI124" s="41"/>
      <c r="FJ124" s="41"/>
      <c r="FK124" s="41"/>
      <c r="FL124" s="41"/>
      <c r="FM124" s="41"/>
      <c r="FN124" s="41"/>
      <c r="FO124" s="41"/>
      <c r="FP124" s="41"/>
      <c r="FQ124" s="41"/>
      <c r="FR124" s="41"/>
      <c r="FS124" s="41"/>
      <c r="FT124" s="41"/>
      <c r="FU124" s="41"/>
      <c r="FV124" s="41"/>
      <c r="FW124" s="41"/>
      <c r="FX124" s="41"/>
      <c r="FY124" s="41"/>
      <c r="FZ124" s="41"/>
      <c r="GA124" s="41"/>
      <c r="GB124" s="41"/>
      <c r="GC124" s="41"/>
      <c r="GD124" s="41"/>
      <c r="GE124" s="41"/>
      <c r="GF124" s="41"/>
      <c r="GG124" s="41"/>
    </row>
    <row r="125" spans="1:189" s="42" customFormat="1" ht="15" customHeight="1" hidden="1">
      <c r="A125" s="255"/>
      <c r="B125" s="256" t="s">
        <v>492</v>
      </c>
      <c r="C125" s="41">
        <v>683757948</v>
      </c>
      <c r="D125" s="41"/>
      <c r="E125" s="41">
        <f>E123-E124</f>
        <v>36198000000</v>
      </c>
      <c r="F125" s="41"/>
      <c r="G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395"/>
      <c r="DM125" s="395"/>
      <c r="DN125" s="395"/>
      <c r="DO125" s="395"/>
      <c r="DP125" s="395"/>
      <c r="DQ125" s="395"/>
      <c r="DR125" s="395"/>
      <c r="DS125" s="395"/>
      <c r="DT125" s="395">
        <v>9859000000</v>
      </c>
      <c r="DU125" s="395" t="s">
        <v>606</v>
      </c>
      <c r="DV125" s="395"/>
      <c r="DW125" s="524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  <c r="FF125" s="41"/>
      <c r="FG125" s="41"/>
      <c r="FH125" s="41"/>
      <c r="FI125" s="41"/>
      <c r="FJ125" s="41"/>
      <c r="FK125" s="41"/>
      <c r="FL125" s="41"/>
      <c r="FM125" s="41"/>
      <c r="FN125" s="41"/>
      <c r="FO125" s="41"/>
      <c r="FP125" s="41"/>
      <c r="FQ125" s="41"/>
      <c r="FR125" s="41"/>
      <c r="FS125" s="41"/>
      <c r="FT125" s="41"/>
      <c r="FU125" s="41"/>
      <c r="FV125" s="41"/>
      <c r="FW125" s="41"/>
      <c r="FX125" s="41"/>
      <c r="FY125" s="41"/>
      <c r="FZ125" s="41"/>
      <c r="GA125" s="41"/>
      <c r="GB125" s="41"/>
      <c r="GC125" s="41"/>
      <c r="GD125" s="41"/>
      <c r="GE125" s="41"/>
      <c r="GF125" s="41"/>
      <c r="GG125" s="41"/>
    </row>
    <row r="126" spans="1:189" s="42" customFormat="1" ht="15" customHeight="1" hidden="1">
      <c r="A126" s="255"/>
      <c r="B126" s="256" t="s">
        <v>508</v>
      </c>
      <c r="C126" s="41">
        <f>240828000</f>
        <v>240828000</v>
      </c>
      <c r="E126" s="41">
        <v>51218383206</v>
      </c>
      <c r="F126" s="41" t="s">
        <v>498</v>
      </c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395"/>
      <c r="DM126" s="395"/>
      <c r="DN126" s="395"/>
      <c r="DO126" s="395"/>
      <c r="DP126" s="395"/>
      <c r="DQ126" s="395"/>
      <c r="DR126" s="395"/>
      <c r="DS126" s="395"/>
      <c r="DT126" s="395">
        <v>734000000</v>
      </c>
      <c r="DU126" s="395" t="s">
        <v>373</v>
      </c>
      <c r="DV126" s="395"/>
      <c r="DW126" s="524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  <c r="FF126" s="41"/>
      <c r="FG126" s="41"/>
      <c r="FH126" s="41"/>
      <c r="FI126" s="41"/>
      <c r="FJ126" s="41"/>
      <c r="FK126" s="41"/>
      <c r="FL126" s="41"/>
      <c r="FM126" s="41"/>
      <c r="FN126" s="41"/>
      <c r="FO126" s="41"/>
      <c r="FP126" s="41"/>
      <c r="FQ126" s="41"/>
      <c r="FR126" s="41"/>
      <c r="FS126" s="41"/>
      <c r="FT126" s="41"/>
      <c r="FU126" s="41"/>
      <c r="FV126" s="41"/>
      <c r="FW126" s="41"/>
      <c r="FX126" s="41"/>
      <c r="FY126" s="41"/>
      <c r="FZ126" s="41"/>
      <c r="GA126" s="41"/>
      <c r="GB126" s="41"/>
      <c r="GC126" s="41"/>
      <c r="GD126" s="41"/>
      <c r="GE126" s="41"/>
      <c r="GF126" s="41"/>
      <c r="GG126" s="41"/>
    </row>
    <row r="127" spans="1:189" s="42" customFormat="1" ht="15" customHeight="1" hidden="1">
      <c r="A127" s="255"/>
      <c r="B127" s="256" t="s">
        <v>507</v>
      </c>
      <c r="C127" s="41">
        <v>904964811</v>
      </c>
      <c r="E127" s="41">
        <f>E126-E125</f>
        <v>15020383206</v>
      </c>
      <c r="F127" s="41">
        <f>D123-E127</f>
        <v>0</v>
      </c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395"/>
      <c r="DM127" s="395"/>
      <c r="DN127" s="395"/>
      <c r="DO127" s="395"/>
      <c r="DP127" s="395"/>
      <c r="DQ127" s="395"/>
      <c r="DR127" s="395"/>
      <c r="DS127" s="395"/>
      <c r="DT127" s="395">
        <f>DT123+DT124+DT125+DT126</f>
        <v>11436414910</v>
      </c>
      <c r="DU127" s="395"/>
      <c r="DV127" s="395"/>
      <c r="DW127" s="524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  <c r="EZ127" s="41"/>
      <c r="FA127" s="41"/>
      <c r="FB127" s="41"/>
      <c r="FC127" s="41"/>
      <c r="FD127" s="41"/>
      <c r="FE127" s="41"/>
      <c r="FF127" s="41"/>
      <c r="FG127" s="41"/>
      <c r="FH127" s="41"/>
      <c r="FI127" s="41"/>
      <c r="FJ127" s="41"/>
      <c r="FK127" s="41"/>
      <c r="FL127" s="41"/>
      <c r="FM127" s="41"/>
      <c r="FN127" s="41"/>
      <c r="FO127" s="41"/>
      <c r="FP127" s="41"/>
      <c r="FQ127" s="41"/>
      <c r="FR127" s="41"/>
      <c r="FS127" s="41"/>
      <c r="FT127" s="41"/>
      <c r="FU127" s="41"/>
      <c r="FV127" s="41"/>
      <c r="FW127" s="41"/>
      <c r="FX127" s="41"/>
      <c r="FY127" s="41"/>
      <c r="FZ127" s="41"/>
      <c r="GA127" s="41"/>
      <c r="GB127" s="41"/>
      <c r="GC127" s="41"/>
      <c r="GD127" s="41"/>
      <c r="GE127" s="41"/>
      <c r="GF127" s="41"/>
      <c r="GG127" s="41"/>
    </row>
    <row r="128" spans="1:189" s="42" customFormat="1" ht="15" customHeight="1" hidden="1">
      <c r="A128" s="255"/>
      <c r="B128" s="256" t="s">
        <v>493</v>
      </c>
      <c r="C128" s="395">
        <v>452018800</v>
      </c>
      <c r="D128" s="702">
        <f>C128+C129+C130+C131</f>
        <v>1298393223</v>
      </c>
      <c r="E128" s="41"/>
      <c r="F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256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  <c r="FF128" s="41"/>
      <c r="FG128" s="41"/>
      <c r="FH128" s="41"/>
      <c r="FI128" s="41"/>
      <c r="FJ128" s="41"/>
      <c r="FK128" s="41"/>
      <c r="FL128" s="41"/>
      <c r="FM128" s="41"/>
      <c r="FN128" s="41"/>
      <c r="FO128" s="41"/>
      <c r="FP128" s="41"/>
      <c r="FQ128" s="41"/>
      <c r="FR128" s="41"/>
      <c r="FS128" s="41"/>
      <c r="FT128" s="41"/>
      <c r="FU128" s="41"/>
      <c r="FV128" s="41"/>
      <c r="FW128" s="41"/>
      <c r="FX128" s="41"/>
      <c r="FY128" s="41"/>
      <c r="FZ128" s="41"/>
      <c r="GA128" s="41"/>
      <c r="GB128" s="41"/>
      <c r="GC128" s="41"/>
      <c r="GD128" s="41"/>
      <c r="GE128" s="41"/>
      <c r="GF128" s="41"/>
      <c r="GG128" s="41"/>
    </row>
    <row r="129" spans="1:189" s="42" customFormat="1" ht="15" customHeight="1" hidden="1">
      <c r="A129" s="255"/>
      <c r="B129" s="256" t="s">
        <v>493</v>
      </c>
      <c r="C129" s="395">
        <f>7154570+838814853+5000</f>
        <v>845974423</v>
      </c>
      <c r="D129" s="703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256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395" t="s">
        <v>607</v>
      </c>
      <c r="DM129" s="395">
        <v>1257000000</v>
      </c>
      <c r="DN129" s="395">
        <v>1109587500</v>
      </c>
      <c r="DO129" s="395">
        <f>DM129-DN129</f>
        <v>147412500</v>
      </c>
      <c r="DP129" s="395"/>
      <c r="DQ129" s="395"/>
      <c r="DR129" s="395"/>
      <c r="DS129" s="395"/>
      <c r="DT129" s="395">
        <v>13295000000</v>
      </c>
      <c r="DU129" s="395">
        <v>13095600000</v>
      </c>
      <c r="DV129" s="395">
        <f>DT129-DU129</f>
        <v>199400000</v>
      </c>
      <c r="DW129" s="524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  <c r="EM129" s="41"/>
      <c r="EN129" s="41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  <c r="FF129" s="41"/>
      <c r="FG129" s="41"/>
      <c r="FH129" s="41"/>
      <c r="FI129" s="41"/>
      <c r="FJ129" s="41"/>
      <c r="FK129" s="41"/>
      <c r="FL129" s="41"/>
      <c r="FM129" s="41"/>
      <c r="FN129" s="41"/>
      <c r="FO129" s="41"/>
      <c r="FP129" s="41"/>
      <c r="FQ129" s="41"/>
      <c r="FR129" s="41"/>
      <c r="FS129" s="41"/>
      <c r="FT129" s="41"/>
      <c r="FU129" s="41"/>
      <c r="FV129" s="41"/>
      <c r="FW129" s="41"/>
      <c r="FX129" s="41"/>
      <c r="FY129" s="41"/>
      <c r="FZ129" s="41"/>
      <c r="GA129" s="41"/>
      <c r="GB129" s="41"/>
      <c r="GC129" s="41"/>
      <c r="GD129" s="41"/>
      <c r="GE129" s="41"/>
      <c r="GF129" s="41"/>
      <c r="GG129" s="41"/>
    </row>
    <row r="130" spans="1:189" s="42" customFormat="1" ht="15" customHeight="1" hidden="1">
      <c r="A130" s="255"/>
      <c r="B130" s="281" t="s">
        <v>504</v>
      </c>
      <c r="C130" s="395">
        <v>200000</v>
      </c>
      <c r="D130" s="703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256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395"/>
      <c r="DM130" s="395"/>
      <c r="DN130" s="395"/>
      <c r="DO130" s="395"/>
      <c r="DP130" s="395"/>
      <c r="DQ130" s="395"/>
      <c r="DR130" s="395"/>
      <c r="DS130" s="395" t="s">
        <v>602</v>
      </c>
      <c r="DT130" s="395">
        <v>11754000000</v>
      </c>
      <c r="DU130" s="395" t="s">
        <v>606</v>
      </c>
      <c r="DV130" s="395"/>
      <c r="DW130" s="524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  <c r="FF130" s="41"/>
      <c r="FG130" s="41"/>
      <c r="FH130" s="41"/>
      <c r="FI130" s="41"/>
      <c r="FJ130" s="41"/>
      <c r="FK130" s="41"/>
      <c r="FL130" s="41"/>
      <c r="FM130" s="41"/>
      <c r="FN130" s="41"/>
      <c r="FO130" s="41"/>
      <c r="FP130" s="41"/>
      <c r="FQ130" s="41"/>
      <c r="FR130" s="41"/>
      <c r="FS130" s="41"/>
      <c r="FT130" s="41"/>
      <c r="FU130" s="41"/>
      <c r="FV130" s="41"/>
      <c r="FW130" s="41"/>
      <c r="FX130" s="41"/>
      <c r="FY130" s="41"/>
      <c r="FZ130" s="41"/>
      <c r="GA130" s="41"/>
      <c r="GB130" s="41"/>
      <c r="GC130" s="41"/>
      <c r="GD130" s="41"/>
      <c r="GE130" s="41"/>
      <c r="GF130" s="41"/>
      <c r="GG130" s="41"/>
    </row>
    <row r="131" spans="1:189" s="42" customFormat="1" ht="15" customHeight="1" hidden="1">
      <c r="A131" s="255"/>
      <c r="B131" s="281" t="s">
        <v>505</v>
      </c>
      <c r="C131" s="395">
        <v>200000</v>
      </c>
      <c r="D131" s="704"/>
      <c r="G131" s="41">
        <f>C127-F133-G133-H133</f>
        <v>525789847</v>
      </c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256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395"/>
      <c r="DM131" s="395"/>
      <c r="DN131" s="395"/>
      <c r="DO131" s="395"/>
      <c r="DP131" s="395"/>
      <c r="DQ131" s="395"/>
      <c r="DR131" s="395"/>
      <c r="DS131" s="395"/>
      <c r="DT131" s="395">
        <v>1541000000</v>
      </c>
      <c r="DU131" s="395" t="s">
        <v>373</v>
      </c>
      <c r="DV131" s="395"/>
      <c r="DW131" s="524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  <c r="FF131" s="41"/>
      <c r="FG131" s="41"/>
      <c r="FH131" s="41"/>
      <c r="FI131" s="41"/>
      <c r="FJ131" s="41"/>
      <c r="FK131" s="41"/>
      <c r="FL131" s="41"/>
      <c r="FM131" s="41"/>
      <c r="FN131" s="41"/>
      <c r="FO131" s="41"/>
      <c r="FP131" s="41"/>
      <c r="FQ131" s="41"/>
      <c r="FR131" s="41"/>
      <c r="FS131" s="41"/>
      <c r="FT131" s="41"/>
      <c r="FU131" s="41"/>
      <c r="FV131" s="41"/>
      <c r="FW131" s="41"/>
      <c r="FX131" s="41"/>
      <c r="FY131" s="41"/>
      <c r="FZ131" s="41"/>
      <c r="GA131" s="41"/>
      <c r="GB131" s="41"/>
      <c r="GC131" s="41"/>
      <c r="GD131" s="41"/>
      <c r="GE131" s="41"/>
      <c r="GF131" s="41"/>
      <c r="GG131" s="41"/>
    </row>
    <row r="132" spans="1:189" s="42" customFormat="1" ht="15" customHeight="1" hidden="1">
      <c r="A132" s="255"/>
      <c r="B132" s="256" t="s">
        <v>506</v>
      </c>
      <c r="C132" s="41">
        <v>105318040</v>
      </c>
      <c r="D132" s="41"/>
      <c r="E132" s="41"/>
      <c r="F132" s="41" t="s">
        <v>509</v>
      </c>
      <c r="G132" s="41" t="s">
        <v>630</v>
      </c>
      <c r="H132" s="41" t="s">
        <v>568</v>
      </c>
      <c r="I132" s="41" t="s">
        <v>586</v>
      </c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256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395"/>
      <c r="DM132" s="395"/>
      <c r="DN132" s="395"/>
      <c r="DO132" s="395">
        <f>DO122+DO129</f>
        <v>64278650</v>
      </c>
      <c r="DP132" s="395"/>
      <c r="DQ132" s="395"/>
      <c r="DR132" s="395"/>
      <c r="DS132" s="395"/>
      <c r="DT132" s="395"/>
      <c r="DU132" s="395"/>
      <c r="DV132" s="395">
        <f>DV122+DV129</f>
        <v>-17159890</v>
      </c>
      <c r="DW132" s="524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/>
      <c r="EN132" s="41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  <c r="FF132" s="41"/>
      <c r="FG132" s="41"/>
      <c r="FH132" s="41"/>
      <c r="FI132" s="41"/>
      <c r="FJ132" s="41"/>
      <c r="FK132" s="41"/>
      <c r="FL132" s="41"/>
      <c r="FM132" s="41"/>
      <c r="FN132" s="41"/>
      <c r="FO132" s="41"/>
      <c r="FP132" s="41"/>
      <c r="FQ132" s="41"/>
      <c r="FR132" s="41"/>
      <c r="FS132" s="41"/>
      <c r="FT132" s="41"/>
      <c r="FU132" s="41"/>
      <c r="FV132" s="41"/>
      <c r="FW132" s="41"/>
      <c r="FX132" s="41"/>
      <c r="FY132" s="41"/>
      <c r="FZ132" s="41"/>
      <c r="GA132" s="41"/>
      <c r="GB132" s="41"/>
      <c r="GC132" s="41"/>
      <c r="GD132" s="41"/>
      <c r="GE132" s="41"/>
      <c r="GF132" s="41"/>
      <c r="GG132" s="41"/>
    </row>
    <row r="133" spans="1:189" s="42" customFormat="1" ht="15" customHeight="1" hidden="1">
      <c r="A133" s="255"/>
      <c r="B133" s="256"/>
      <c r="C133" s="39">
        <f>SUM(C123:C132)</f>
        <v>18253645228</v>
      </c>
      <c r="D133" s="41">
        <f>C99-C133</f>
        <v>10569846590</v>
      </c>
      <c r="E133" s="39">
        <f>SUM(F133:L133)</f>
        <v>379574964</v>
      </c>
      <c r="F133" s="41">
        <f>86699784-30000</f>
        <v>86669784</v>
      </c>
      <c r="G133" s="41">
        <v>288618000</v>
      </c>
      <c r="H133" s="41">
        <v>3887180</v>
      </c>
      <c r="I133" s="41">
        <v>400000</v>
      </c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256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395"/>
      <c r="DM133" s="395"/>
      <c r="DN133" s="395"/>
      <c r="DO133" s="395">
        <f>DO132+DV132</f>
        <v>47118760</v>
      </c>
      <c r="DP133" s="395"/>
      <c r="DQ133" s="395"/>
      <c r="DR133" s="395"/>
      <c r="DS133" s="395"/>
      <c r="DT133" s="395"/>
      <c r="DU133" s="395"/>
      <c r="DV133" s="395"/>
      <c r="DW133" s="524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  <c r="EM133" s="41"/>
      <c r="EN133" s="41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  <c r="EZ133" s="41"/>
      <c r="FA133" s="41"/>
      <c r="FB133" s="41"/>
      <c r="FC133" s="41"/>
      <c r="FD133" s="41"/>
      <c r="FE133" s="41"/>
      <c r="FF133" s="41"/>
      <c r="FG133" s="41"/>
      <c r="FH133" s="41"/>
      <c r="FI133" s="41"/>
      <c r="FJ133" s="41"/>
      <c r="FK133" s="41"/>
      <c r="FL133" s="41"/>
      <c r="FM133" s="41"/>
      <c r="FN133" s="41"/>
      <c r="FO133" s="41"/>
      <c r="FP133" s="41"/>
      <c r="FQ133" s="41"/>
      <c r="FR133" s="41"/>
      <c r="FS133" s="41"/>
      <c r="FT133" s="41"/>
      <c r="FU133" s="41"/>
      <c r="FV133" s="41"/>
      <c r="FW133" s="41"/>
      <c r="FX133" s="41"/>
      <c r="FY133" s="41"/>
      <c r="FZ133" s="41"/>
      <c r="GA133" s="41"/>
      <c r="GB133" s="41"/>
      <c r="GC133" s="41"/>
      <c r="GD133" s="41"/>
      <c r="GE133" s="41"/>
      <c r="GF133" s="41"/>
      <c r="GG133" s="41"/>
    </row>
    <row r="134" spans="1:189" s="42" customFormat="1" ht="15" customHeight="1" hidden="1">
      <c r="A134" s="255"/>
      <c r="B134" s="256"/>
      <c r="C134" s="576" t="s">
        <v>631</v>
      </c>
      <c r="D134" s="41">
        <f>2800000000-128584529</f>
        <v>2671415471</v>
      </c>
      <c r="E134" s="41">
        <f>D133+E133</f>
        <v>10949421554</v>
      </c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256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 t="s">
        <v>642</v>
      </c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1"/>
      <c r="FI134" s="41"/>
      <c r="FJ134" s="41"/>
      <c r="FK134" s="41"/>
      <c r="FL134" s="41"/>
      <c r="FM134" s="41"/>
      <c r="FN134" s="41"/>
      <c r="FO134" s="41"/>
      <c r="FP134" s="41"/>
      <c r="FQ134" s="41"/>
      <c r="FR134" s="41"/>
      <c r="FS134" s="41"/>
      <c r="FT134" s="41"/>
      <c r="FU134" s="41"/>
      <c r="FV134" s="41"/>
      <c r="FW134" s="41"/>
      <c r="FX134" s="41"/>
      <c r="FY134" s="41"/>
      <c r="FZ134" s="41"/>
      <c r="GA134" s="41"/>
      <c r="GB134" s="41"/>
      <c r="GC134" s="41"/>
      <c r="GD134" s="41"/>
      <c r="GE134" s="41"/>
      <c r="GF134" s="41"/>
      <c r="GG134" s="41"/>
    </row>
    <row r="135" spans="1:189" s="42" customFormat="1" ht="15" customHeight="1" hidden="1">
      <c r="A135" s="255"/>
      <c r="D135" s="41">
        <f>D133+D134</f>
        <v>13241262061</v>
      </c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256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 t="s">
        <v>608</v>
      </c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  <c r="EO135" s="41"/>
      <c r="EP135" s="41"/>
      <c r="EQ135" s="41"/>
      <c r="ER135" s="41"/>
      <c r="ES135" s="41"/>
      <c r="ET135" s="41"/>
      <c r="EU135" s="41"/>
      <c r="EV135" s="41"/>
      <c r="EW135" s="41"/>
      <c r="EX135" s="41"/>
      <c r="EY135" s="41"/>
      <c r="EZ135" s="41"/>
      <c r="FA135" s="41"/>
      <c r="FB135" s="41"/>
      <c r="FC135" s="41"/>
      <c r="FD135" s="41"/>
      <c r="FE135" s="41"/>
      <c r="FF135" s="41"/>
      <c r="FG135" s="41"/>
      <c r="FH135" s="41"/>
      <c r="FI135" s="41"/>
      <c r="FJ135" s="41"/>
      <c r="FK135" s="41"/>
      <c r="FL135" s="41"/>
      <c r="FM135" s="41"/>
      <c r="FN135" s="41"/>
      <c r="FO135" s="41"/>
      <c r="FP135" s="41"/>
      <c r="FQ135" s="41"/>
      <c r="FR135" s="41"/>
      <c r="FS135" s="41"/>
      <c r="FT135" s="41"/>
      <c r="FU135" s="41"/>
      <c r="FV135" s="41"/>
      <c r="FW135" s="41"/>
      <c r="FX135" s="41"/>
      <c r="FY135" s="41"/>
      <c r="FZ135" s="41"/>
      <c r="GA135" s="41"/>
      <c r="GB135" s="41"/>
      <c r="GC135" s="41"/>
      <c r="GD135" s="41"/>
      <c r="GE135" s="41"/>
      <c r="GF135" s="41"/>
      <c r="GG135" s="41"/>
    </row>
    <row r="136" spans="1:189" s="42" customFormat="1" ht="15" customHeight="1" hidden="1">
      <c r="A136" s="255"/>
      <c r="D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256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1"/>
      <c r="ER136" s="41"/>
      <c r="ES136" s="41"/>
      <c r="ET136" s="41"/>
      <c r="EU136" s="41"/>
      <c r="EV136" s="41"/>
      <c r="EW136" s="41"/>
      <c r="EX136" s="41"/>
      <c r="EY136" s="41"/>
      <c r="EZ136" s="41"/>
      <c r="FA136" s="41"/>
      <c r="FB136" s="41"/>
      <c r="FC136" s="41"/>
      <c r="FD136" s="41"/>
      <c r="FE136" s="41"/>
      <c r="FF136" s="41"/>
      <c r="FG136" s="41"/>
      <c r="FH136" s="41"/>
      <c r="FI136" s="41"/>
      <c r="FJ136" s="41"/>
      <c r="FK136" s="41"/>
      <c r="FL136" s="41"/>
      <c r="FM136" s="41"/>
      <c r="FN136" s="41"/>
      <c r="FO136" s="41"/>
      <c r="FP136" s="41"/>
      <c r="FQ136" s="41"/>
      <c r="FR136" s="41"/>
      <c r="FS136" s="41"/>
      <c r="FT136" s="41"/>
      <c r="FU136" s="41"/>
      <c r="FV136" s="41"/>
      <c r="FW136" s="41"/>
      <c r="FX136" s="41"/>
      <c r="FY136" s="41"/>
      <c r="FZ136" s="41"/>
      <c r="GA136" s="41"/>
      <c r="GB136" s="41"/>
      <c r="GC136" s="41"/>
      <c r="GD136" s="41"/>
      <c r="GE136" s="41"/>
      <c r="GF136" s="41"/>
      <c r="GG136" s="41"/>
    </row>
    <row r="137" spans="1:189" s="42" customFormat="1" ht="15" customHeight="1" hidden="1">
      <c r="A137" s="255"/>
      <c r="B137" s="256" t="s">
        <v>500</v>
      </c>
      <c r="C137" s="41">
        <v>709403765</v>
      </c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256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  <c r="EO137" s="41"/>
      <c r="EP137" s="41"/>
      <c r="EQ137" s="41"/>
      <c r="ER137" s="41"/>
      <c r="ES137" s="41"/>
      <c r="ET137" s="41"/>
      <c r="EU137" s="41"/>
      <c r="EV137" s="41"/>
      <c r="EW137" s="41"/>
      <c r="EX137" s="41"/>
      <c r="EY137" s="41"/>
      <c r="EZ137" s="41"/>
      <c r="FA137" s="41"/>
      <c r="FB137" s="41"/>
      <c r="FC137" s="41"/>
      <c r="FD137" s="41"/>
      <c r="FE137" s="41"/>
      <c r="FF137" s="41"/>
      <c r="FG137" s="41"/>
      <c r="FH137" s="41"/>
      <c r="FI137" s="41"/>
      <c r="FJ137" s="41"/>
      <c r="FK137" s="41"/>
      <c r="FL137" s="41"/>
      <c r="FM137" s="41"/>
      <c r="FN137" s="41"/>
      <c r="FO137" s="41"/>
      <c r="FP137" s="41"/>
      <c r="FQ137" s="41"/>
      <c r="FR137" s="41"/>
      <c r="FS137" s="41"/>
      <c r="FT137" s="41"/>
      <c r="FU137" s="41"/>
      <c r="FV137" s="41"/>
      <c r="FW137" s="41"/>
      <c r="FX137" s="41"/>
      <c r="FY137" s="41"/>
      <c r="FZ137" s="41"/>
      <c r="GA137" s="41"/>
      <c r="GB137" s="41"/>
      <c r="GC137" s="41"/>
      <c r="GD137" s="41"/>
      <c r="GE137" s="41"/>
      <c r="GF137" s="41"/>
      <c r="GG137" s="41"/>
    </row>
    <row r="138" spans="1:189" s="42" customFormat="1" ht="15" customHeight="1" hidden="1">
      <c r="A138" s="255"/>
      <c r="B138" s="256" t="s">
        <v>503</v>
      </c>
      <c r="C138" s="41">
        <v>592481509</v>
      </c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256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  <c r="FF138" s="41"/>
      <c r="FG138" s="41"/>
      <c r="FH138" s="41"/>
      <c r="FI138" s="41"/>
      <c r="FJ138" s="41"/>
      <c r="FK138" s="41"/>
      <c r="FL138" s="41"/>
      <c r="FM138" s="41"/>
      <c r="FN138" s="41"/>
      <c r="FO138" s="41"/>
      <c r="FP138" s="41"/>
      <c r="FQ138" s="41"/>
      <c r="FR138" s="41"/>
      <c r="FS138" s="41"/>
      <c r="FT138" s="41"/>
      <c r="FU138" s="41"/>
      <c r="FV138" s="41"/>
      <c r="FW138" s="41"/>
      <c r="FX138" s="41"/>
      <c r="FY138" s="41"/>
      <c r="FZ138" s="41"/>
      <c r="GA138" s="41"/>
      <c r="GB138" s="41"/>
      <c r="GC138" s="41"/>
      <c r="GD138" s="41"/>
      <c r="GE138" s="41"/>
      <c r="GF138" s="41"/>
      <c r="GG138" s="41"/>
    </row>
    <row r="139" spans="1:189" s="42" customFormat="1" ht="11.25" hidden="1">
      <c r="A139" s="255"/>
      <c r="B139" s="42" t="s">
        <v>511</v>
      </c>
      <c r="C139" s="41">
        <f>C137-C138</f>
        <v>116922256</v>
      </c>
      <c r="D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256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  <c r="EM139" s="41"/>
      <c r="EN139" s="41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  <c r="FB139" s="41"/>
      <c r="FC139" s="41"/>
      <c r="FD139" s="41"/>
      <c r="FE139" s="41"/>
      <c r="FF139" s="41"/>
      <c r="FG139" s="41"/>
      <c r="FH139" s="41"/>
      <c r="FI139" s="41"/>
      <c r="FJ139" s="41"/>
      <c r="FK139" s="41"/>
      <c r="FL139" s="41"/>
      <c r="FM139" s="41"/>
      <c r="FN139" s="41"/>
      <c r="FO139" s="41"/>
      <c r="FP139" s="41"/>
      <c r="FQ139" s="41"/>
      <c r="FR139" s="41"/>
      <c r="FS139" s="41"/>
      <c r="FT139" s="41"/>
      <c r="FU139" s="41"/>
      <c r="FV139" s="41"/>
      <c r="FW139" s="41"/>
      <c r="FX139" s="41"/>
      <c r="FY139" s="41"/>
      <c r="FZ139" s="41"/>
      <c r="GA139" s="41"/>
      <c r="GB139" s="41"/>
      <c r="GC139" s="41"/>
      <c r="GD139" s="41"/>
      <c r="GE139" s="41"/>
      <c r="GF139" s="41"/>
      <c r="GG139" s="41"/>
    </row>
    <row r="140" spans="1:189" s="42" customFormat="1" ht="11.25">
      <c r="A140" s="255"/>
      <c r="B140" s="256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256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  <c r="FF140" s="41"/>
      <c r="FG140" s="41"/>
      <c r="FH140" s="41"/>
      <c r="FI140" s="41"/>
      <c r="FJ140" s="41"/>
      <c r="FK140" s="41"/>
      <c r="FL140" s="41"/>
      <c r="FM140" s="41"/>
      <c r="FN140" s="41"/>
      <c r="FO140" s="41"/>
      <c r="FP140" s="41"/>
      <c r="FQ140" s="41"/>
      <c r="FR140" s="41"/>
      <c r="FS140" s="41"/>
      <c r="FT140" s="41"/>
      <c r="FU140" s="41"/>
      <c r="FV140" s="41"/>
      <c r="FW140" s="41"/>
      <c r="FX140" s="41"/>
      <c r="FY140" s="41"/>
      <c r="FZ140" s="41"/>
      <c r="GA140" s="41"/>
      <c r="GB140" s="41"/>
      <c r="GC140" s="41"/>
      <c r="GD140" s="41"/>
      <c r="GE140" s="41"/>
      <c r="GF140" s="41"/>
      <c r="GG140" s="41"/>
    </row>
    <row r="141" spans="1:189" s="42" customFormat="1" ht="11.25">
      <c r="A141" s="255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256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1"/>
      <c r="DZ141" s="41"/>
      <c r="EA141" s="41"/>
      <c r="EB141" s="41"/>
      <c r="EC141" s="41"/>
      <c r="ED141" s="41"/>
      <c r="EE141" s="41"/>
      <c r="EF141" s="41"/>
      <c r="EG141" s="41"/>
      <c r="EH141" s="41"/>
      <c r="EI141" s="41"/>
      <c r="EJ141" s="41"/>
      <c r="EK141" s="41"/>
      <c r="EL141" s="41"/>
      <c r="EM141" s="41"/>
      <c r="EN141" s="41"/>
      <c r="EO141" s="41"/>
      <c r="EP141" s="41"/>
      <c r="EQ141" s="41"/>
      <c r="ER141" s="41"/>
      <c r="ES141" s="41"/>
      <c r="ET141" s="41"/>
      <c r="EU141" s="41"/>
      <c r="EV141" s="41"/>
      <c r="EW141" s="41"/>
      <c r="EX141" s="41"/>
      <c r="EY141" s="41"/>
      <c r="EZ141" s="41"/>
      <c r="FA141" s="41"/>
      <c r="FB141" s="41"/>
      <c r="FC141" s="41"/>
      <c r="FD141" s="41"/>
      <c r="FE141" s="41"/>
      <c r="FF141" s="41"/>
      <c r="FG141" s="41"/>
      <c r="FH141" s="41"/>
      <c r="FI141" s="41"/>
      <c r="FJ141" s="41"/>
      <c r="FK141" s="41"/>
      <c r="FL141" s="41"/>
      <c r="FM141" s="41"/>
      <c r="FN141" s="41"/>
      <c r="FO141" s="41"/>
      <c r="FP141" s="41"/>
      <c r="FQ141" s="41"/>
      <c r="FR141" s="41"/>
      <c r="FS141" s="41"/>
      <c r="FT141" s="41"/>
      <c r="FU141" s="41"/>
      <c r="FV141" s="41"/>
      <c r="FW141" s="41"/>
      <c r="FX141" s="41"/>
      <c r="FY141" s="41"/>
      <c r="FZ141" s="41"/>
      <c r="GA141" s="41"/>
      <c r="GB141" s="41"/>
      <c r="GC141" s="41"/>
      <c r="GD141" s="41"/>
      <c r="GE141" s="41"/>
      <c r="GF141" s="41"/>
      <c r="GG141" s="41"/>
    </row>
    <row r="142" spans="1:189" s="42" customFormat="1" ht="11.25">
      <c r="A142" s="255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256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  <c r="FF142" s="41"/>
      <c r="FG142" s="41"/>
      <c r="FH142" s="41"/>
      <c r="FI142" s="41"/>
      <c r="FJ142" s="41"/>
      <c r="FK142" s="41"/>
      <c r="FL142" s="41"/>
      <c r="FM142" s="41"/>
      <c r="FN142" s="41"/>
      <c r="FO142" s="41"/>
      <c r="FP142" s="41"/>
      <c r="FQ142" s="41"/>
      <c r="FR142" s="41"/>
      <c r="FS142" s="41"/>
      <c r="FT142" s="41"/>
      <c r="FU142" s="41"/>
      <c r="FV142" s="41"/>
      <c r="FW142" s="41"/>
      <c r="FX142" s="41"/>
      <c r="FY142" s="41"/>
      <c r="FZ142" s="41"/>
      <c r="GA142" s="41"/>
      <c r="GB142" s="41"/>
      <c r="GC142" s="41"/>
      <c r="GD142" s="41"/>
      <c r="GE142" s="41"/>
      <c r="GF142" s="41"/>
      <c r="GG142" s="41"/>
    </row>
    <row r="143" spans="1:189" s="42" customFormat="1" ht="11.25">
      <c r="A143" s="255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256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/>
      <c r="EN143" s="41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  <c r="FF143" s="41"/>
      <c r="FG143" s="41"/>
      <c r="FH143" s="41"/>
      <c r="FI143" s="41"/>
      <c r="FJ143" s="41"/>
      <c r="FK143" s="41"/>
      <c r="FL143" s="41"/>
      <c r="FM143" s="41"/>
      <c r="FN143" s="41"/>
      <c r="FO143" s="41"/>
      <c r="FP143" s="41"/>
      <c r="FQ143" s="41"/>
      <c r="FR143" s="41"/>
      <c r="FS143" s="41"/>
      <c r="FT143" s="41"/>
      <c r="FU143" s="41"/>
      <c r="FV143" s="41"/>
      <c r="FW143" s="41"/>
      <c r="FX143" s="41"/>
      <c r="FY143" s="41"/>
      <c r="FZ143" s="41"/>
      <c r="GA143" s="41"/>
      <c r="GB143" s="41"/>
      <c r="GC143" s="41"/>
      <c r="GD143" s="41"/>
      <c r="GE143" s="41"/>
      <c r="GF143" s="41"/>
      <c r="GG143" s="41"/>
    </row>
    <row r="144" spans="1:189" s="42" customFormat="1" ht="11.25">
      <c r="A144" s="255"/>
      <c r="B144" s="256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256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1"/>
      <c r="DZ144" s="41"/>
      <c r="EA144" s="41"/>
      <c r="EB144" s="41"/>
      <c r="EC144" s="41"/>
      <c r="ED144" s="41"/>
      <c r="EE144" s="41"/>
      <c r="EF144" s="41"/>
      <c r="EG144" s="41"/>
      <c r="EH144" s="41"/>
      <c r="EI144" s="41"/>
      <c r="EJ144" s="41"/>
      <c r="EK144" s="41"/>
      <c r="EL144" s="41"/>
      <c r="EM144" s="41"/>
      <c r="EN144" s="41"/>
      <c r="EO144" s="41"/>
      <c r="EP144" s="41"/>
      <c r="EQ144" s="41"/>
      <c r="ER144" s="41"/>
      <c r="ES144" s="41"/>
      <c r="ET144" s="41"/>
      <c r="EU144" s="41"/>
      <c r="EV144" s="41"/>
      <c r="EW144" s="41"/>
      <c r="EX144" s="41"/>
      <c r="EY144" s="41"/>
      <c r="EZ144" s="41"/>
      <c r="FA144" s="41"/>
      <c r="FB144" s="41"/>
      <c r="FC144" s="41"/>
      <c r="FD144" s="41"/>
      <c r="FE144" s="41"/>
      <c r="FF144" s="41"/>
      <c r="FG144" s="41"/>
      <c r="FH144" s="41"/>
      <c r="FI144" s="41"/>
      <c r="FJ144" s="41"/>
      <c r="FK144" s="41"/>
      <c r="FL144" s="41"/>
      <c r="FM144" s="41"/>
      <c r="FN144" s="41"/>
      <c r="FO144" s="41"/>
      <c r="FP144" s="41"/>
      <c r="FQ144" s="41"/>
      <c r="FR144" s="41"/>
      <c r="FS144" s="41"/>
      <c r="FT144" s="41"/>
      <c r="FU144" s="41"/>
      <c r="FV144" s="41"/>
      <c r="FW144" s="41"/>
      <c r="FX144" s="41"/>
      <c r="FY144" s="41"/>
      <c r="FZ144" s="41"/>
      <c r="GA144" s="41"/>
      <c r="GB144" s="41"/>
      <c r="GC144" s="41"/>
      <c r="GD144" s="41"/>
      <c r="GE144" s="41"/>
      <c r="GF144" s="41"/>
      <c r="GG144" s="41"/>
    </row>
    <row r="145" spans="1:189" s="42" customFormat="1" ht="11.25">
      <c r="A145" s="255"/>
      <c r="B145" s="256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256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1"/>
      <c r="EB145" s="41"/>
      <c r="EC145" s="41"/>
      <c r="ED145" s="41"/>
      <c r="EE145" s="41"/>
      <c r="EF145" s="41"/>
      <c r="EG145" s="41"/>
      <c r="EH145" s="41"/>
      <c r="EI145" s="41"/>
      <c r="EJ145" s="41"/>
      <c r="EK145" s="41"/>
      <c r="EL145" s="41"/>
      <c r="EM145" s="41"/>
      <c r="EN145" s="41"/>
      <c r="EO145" s="41"/>
      <c r="EP145" s="41"/>
      <c r="EQ145" s="41"/>
      <c r="ER145" s="41"/>
      <c r="ES145" s="41"/>
      <c r="ET145" s="41"/>
      <c r="EU145" s="41"/>
      <c r="EV145" s="41"/>
      <c r="EW145" s="41"/>
      <c r="EX145" s="41"/>
      <c r="EY145" s="41"/>
      <c r="EZ145" s="41"/>
      <c r="FA145" s="41"/>
      <c r="FB145" s="41"/>
      <c r="FC145" s="41"/>
      <c r="FD145" s="41"/>
      <c r="FE145" s="41"/>
      <c r="FF145" s="41"/>
      <c r="FG145" s="41"/>
      <c r="FH145" s="41"/>
      <c r="FI145" s="41"/>
      <c r="FJ145" s="41"/>
      <c r="FK145" s="41"/>
      <c r="FL145" s="41"/>
      <c r="FM145" s="41"/>
      <c r="FN145" s="41"/>
      <c r="FO145" s="41"/>
      <c r="FP145" s="41"/>
      <c r="FQ145" s="41"/>
      <c r="FR145" s="41"/>
      <c r="FS145" s="41"/>
      <c r="FT145" s="41"/>
      <c r="FU145" s="41"/>
      <c r="FV145" s="41"/>
      <c r="FW145" s="41"/>
      <c r="FX145" s="41"/>
      <c r="FY145" s="41"/>
      <c r="FZ145" s="41"/>
      <c r="GA145" s="41"/>
      <c r="GB145" s="41"/>
      <c r="GC145" s="41"/>
      <c r="GD145" s="41"/>
      <c r="GE145" s="41"/>
      <c r="GF145" s="41"/>
      <c r="GG145" s="41"/>
    </row>
    <row r="146" spans="1:189" s="42" customFormat="1" ht="11.25">
      <c r="A146" s="255"/>
      <c r="B146" s="256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256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1"/>
      <c r="DZ146" s="41"/>
      <c r="EA146" s="41"/>
      <c r="EB146" s="41"/>
      <c r="EC146" s="41"/>
      <c r="ED146" s="41"/>
      <c r="EE146" s="41"/>
      <c r="EF146" s="41"/>
      <c r="EG146" s="41"/>
      <c r="EH146" s="41"/>
      <c r="EI146" s="41"/>
      <c r="EJ146" s="41"/>
      <c r="EK146" s="41"/>
      <c r="EL146" s="41"/>
      <c r="EM146" s="41"/>
      <c r="EN146" s="41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  <c r="FB146" s="41"/>
      <c r="FC146" s="41"/>
      <c r="FD146" s="41"/>
      <c r="FE146" s="41"/>
      <c r="FF146" s="41"/>
      <c r="FG146" s="41"/>
      <c r="FH146" s="41"/>
      <c r="FI146" s="41"/>
      <c r="FJ146" s="41"/>
      <c r="FK146" s="41"/>
      <c r="FL146" s="41"/>
      <c r="FM146" s="41"/>
      <c r="FN146" s="41"/>
      <c r="FO146" s="41"/>
      <c r="FP146" s="41"/>
      <c r="FQ146" s="41"/>
      <c r="FR146" s="41"/>
      <c r="FS146" s="41"/>
      <c r="FT146" s="41"/>
      <c r="FU146" s="41"/>
      <c r="FV146" s="41"/>
      <c r="FW146" s="41"/>
      <c r="FX146" s="41"/>
      <c r="FY146" s="41"/>
      <c r="FZ146" s="41"/>
      <c r="GA146" s="41"/>
      <c r="GB146" s="41"/>
      <c r="GC146" s="41"/>
      <c r="GD146" s="41"/>
      <c r="GE146" s="41"/>
      <c r="GF146" s="41"/>
      <c r="GG146" s="41"/>
    </row>
    <row r="147" spans="1:189" s="42" customFormat="1" ht="11.25">
      <c r="A147" s="255"/>
      <c r="B147" s="256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256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41"/>
      <c r="EK147" s="41"/>
      <c r="EL147" s="41"/>
      <c r="EM147" s="41"/>
      <c r="EN147" s="41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  <c r="FF147" s="41"/>
      <c r="FG147" s="41"/>
      <c r="FH147" s="41"/>
      <c r="FI147" s="41"/>
      <c r="FJ147" s="41"/>
      <c r="FK147" s="41"/>
      <c r="FL147" s="41"/>
      <c r="FM147" s="41"/>
      <c r="FN147" s="41"/>
      <c r="FO147" s="41"/>
      <c r="FP147" s="41"/>
      <c r="FQ147" s="41"/>
      <c r="FR147" s="41"/>
      <c r="FS147" s="41"/>
      <c r="FT147" s="41"/>
      <c r="FU147" s="41"/>
      <c r="FV147" s="41"/>
      <c r="FW147" s="41"/>
      <c r="FX147" s="41"/>
      <c r="FY147" s="41"/>
      <c r="FZ147" s="41"/>
      <c r="GA147" s="41"/>
      <c r="GB147" s="41"/>
      <c r="GC147" s="41"/>
      <c r="GD147" s="41"/>
      <c r="GE147" s="41"/>
      <c r="GF147" s="41"/>
      <c r="GG147" s="41"/>
    </row>
    <row r="148" spans="1:189" s="42" customFormat="1" ht="11.25">
      <c r="A148" s="255"/>
      <c r="B148" s="256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256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1"/>
      <c r="DZ148" s="41"/>
      <c r="EA148" s="41"/>
      <c r="EB148" s="41"/>
      <c r="EC148" s="41"/>
      <c r="ED148" s="41"/>
      <c r="EE148" s="41"/>
      <c r="EF148" s="41"/>
      <c r="EG148" s="41"/>
      <c r="EH148" s="41"/>
      <c r="EI148" s="41"/>
      <c r="EJ148" s="41"/>
      <c r="EK148" s="41"/>
      <c r="EL148" s="41"/>
      <c r="EM148" s="41"/>
      <c r="EN148" s="41"/>
      <c r="EO148" s="41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1"/>
      <c r="FF148" s="41"/>
      <c r="FG148" s="41"/>
      <c r="FH148" s="41"/>
      <c r="FI148" s="41"/>
      <c r="FJ148" s="41"/>
      <c r="FK148" s="41"/>
      <c r="FL148" s="41"/>
      <c r="FM148" s="41"/>
      <c r="FN148" s="41"/>
      <c r="FO148" s="41"/>
      <c r="FP148" s="41"/>
      <c r="FQ148" s="41"/>
      <c r="FR148" s="41"/>
      <c r="FS148" s="41"/>
      <c r="FT148" s="41"/>
      <c r="FU148" s="41"/>
      <c r="FV148" s="41"/>
      <c r="FW148" s="41"/>
      <c r="FX148" s="41"/>
      <c r="FY148" s="41"/>
      <c r="FZ148" s="41"/>
      <c r="GA148" s="41"/>
      <c r="GB148" s="41"/>
      <c r="GC148" s="41"/>
      <c r="GD148" s="41"/>
      <c r="GE148" s="41"/>
      <c r="GF148" s="41"/>
      <c r="GG148" s="41"/>
    </row>
    <row r="149" spans="1:189" s="42" customFormat="1" ht="11.25">
      <c r="A149" s="255"/>
      <c r="B149" s="256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256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  <c r="FP149" s="41"/>
      <c r="FQ149" s="41"/>
      <c r="FR149" s="41"/>
      <c r="FS149" s="41"/>
      <c r="FT149" s="41"/>
      <c r="FU149" s="41"/>
      <c r="FV149" s="41"/>
      <c r="FW149" s="41"/>
      <c r="FX149" s="41"/>
      <c r="FY149" s="41"/>
      <c r="FZ149" s="41"/>
      <c r="GA149" s="41"/>
      <c r="GB149" s="41"/>
      <c r="GC149" s="41"/>
      <c r="GD149" s="41"/>
      <c r="GE149" s="41"/>
      <c r="GF149" s="41"/>
      <c r="GG149" s="41"/>
    </row>
    <row r="150" spans="1:189" s="42" customFormat="1" ht="11.25">
      <c r="A150" s="255"/>
      <c r="B150" s="256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256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  <c r="FP150" s="41"/>
      <c r="FQ150" s="41"/>
      <c r="FR150" s="41"/>
      <c r="FS150" s="41"/>
      <c r="FT150" s="41"/>
      <c r="FU150" s="41"/>
      <c r="FV150" s="41"/>
      <c r="FW150" s="41"/>
      <c r="FX150" s="41"/>
      <c r="FY150" s="41"/>
      <c r="FZ150" s="41"/>
      <c r="GA150" s="41"/>
      <c r="GB150" s="41"/>
      <c r="GC150" s="41"/>
      <c r="GD150" s="41"/>
      <c r="GE150" s="41"/>
      <c r="GF150" s="41"/>
      <c r="GG150" s="41"/>
    </row>
    <row r="151" spans="1:189" s="42" customFormat="1" ht="11.25">
      <c r="A151" s="255"/>
      <c r="B151" s="256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256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  <c r="FF151" s="41"/>
      <c r="FG151" s="41"/>
      <c r="FH151" s="41"/>
      <c r="FI151" s="41"/>
      <c r="FJ151" s="41"/>
      <c r="FK151" s="41"/>
      <c r="FL151" s="41"/>
      <c r="FM151" s="41"/>
      <c r="FN151" s="41"/>
      <c r="FO151" s="41"/>
      <c r="FP151" s="41"/>
      <c r="FQ151" s="41"/>
      <c r="FR151" s="41"/>
      <c r="FS151" s="41"/>
      <c r="FT151" s="41"/>
      <c r="FU151" s="41"/>
      <c r="FV151" s="41"/>
      <c r="FW151" s="41"/>
      <c r="FX151" s="41"/>
      <c r="FY151" s="41"/>
      <c r="FZ151" s="41"/>
      <c r="GA151" s="41"/>
      <c r="GB151" s="41"/>
      <c r="GC151" s="41"/>
      <c r="GD151" s="41"/>
      <c r="GE151" s="41"/>
      <c r="GF151" s="41"/>
      <c r="GG151" s="41"/>
    </row>
    <row r="152" spans="1:189" s="42" customFormat="1" ht="11.25">
      <c r="A152" s="255"/>
      <c r="B152" s="256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256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1"/>
      <c r="EE152" s="41"/>
      <c r="EF152" s="41"/>
      <c r="EG152" s="41"/>
      <c r="EH152" s="41"/>
      <c r="EI152" s="41"/>
      <c r="EJ152" s="41"/>
      <c r="EK152" s="41"/>
      <c r="EL152" s="41"/>
      <c r="EM152" s="41"/>
      <c r="EN152" s="41"/>
      <c r="EO152" s="41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1"/>
      <c r="FF152" s="41"/>
      <c r="FG152" s="41"/>
      <c r="FH152" s="41"/>
      <c r="FI152" s="41"/>
      <c r="FJ152" s="41"/>
      <c r="FK152" s="41"/>
      <c r="FL152" s="41"/>
      <c r="FM152" s="41"/>
      <c r="FN152" s="41"/>
      <c r="FO152" s="41"/>
      <c r="FP152" s="41"/>
      <c r="FQ152" s="41"/>
      <c r="FR152" s="41"/>
      <c r="FS152" s="41"/>
      <c r="FT152" s="41"/>
      <c r="FU152" s="41"/>
      <c r="FV152" s="41"/>
      <c r="FW152" s="41"/>
      <c r="FX152" s="41"/>
      <c r="FY152" s="41"/>
      <c r="FZ152" s="41"/>
      <c r="GA152" s="41"/>
      <c r="GB152" s="41"/>
      <c r="GC152" s="41"/>
      <c r="GD152" s="41"/>
      <c r="GE152" s="41"/>
      <c r="GF152" s="41"/>
      <c r="GG152" s="41"/>
    </row>
    <row r="153" spans="1:189" s="42" customFormat="1" ht="11.25">
      <c r="A153" s="255"/>
      <c r="B153" s="256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256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  <c r="FF153" s="41"/>
      <c r="FG153" s="41"/>
      <c r="FH153" s="41"/>
      <c r="FI153" s="41"/>
      <c r="FJ153" s="41"/>
      <c r="FK153" s="41"/>
      <c r="FL153" s="41"/>
      <c r="FM153" s="41"/>
      <c r="FN153" s="41"/>
      <c r="FO153" s="41"/>
      <c r="FP153" s="41"/>
      <c r="FQ153" s="41"/>
      <c r="FR153" s="41"/>
      <c r="FS153" s="41"/>
      <c r="FT153" s="41"/>
      <c r="FU153" s="41"/>
      <c r="FV153" s="41"/>
      <c r="FW153" s="41"/>
      <c r="FX153" s="41"/>
      <c r="FY153" s="41"/>
      <c r="FZ153" s="41"/>
      <c r="GA153" s="41"/>
      <c r="GB153" s="41"/>
      <c r="GC153" s="41"/>
      <c r="GD153" s="41"/>
      <c r="GE153" s="41"/>
      <c r="GF153" s="41"/>
      <c r="GG153" s="41"/>
    </row>
    <row r="154" spans="1:189" s="42" customFormat="1" ht="11.25">
      <c r="A154" s="255"/>
      <c r="B154" s="256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256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41"/>
      <c r="FA154" s="41"/>
      <c r="FB154" s="41"/>
      <c r="FC154" s="41"/>
      <c r="FD154" s="41"/>
      <c r="FE154" s="41"/>
      <c r="FF154" s="41"/>
      <c r="FG154" s="41"/>
      <c r="FH154" s="41"/>
      <c r="FI154" s="41"/>
      <c r="FJ154" s="41"/>
      <c r="FK154" s="41"/>
      <c r="FL154" s="41"/>
      <c r="FM154" s="41"/>
      <c r="FN154" s="41"/>
      <c r="FO154" s="41"/>
      <c r="FP154" s="41"/>
      <c r="FQ154" s="41"/>
      <c r="FR154" s="41"/>
      <c r="FS154" s="41"/>
      <c r="FT154" s="41"/>
      <c r="FU154" s="41"/>
      <c r="FV154" s="41"/>
      <c r="FW154" s="41"/>
      <c r="FX154" s="41"/>
      <c r="FY154" s="41"/>
      <c r="FZ154" s="41"/>
      <c r="GA154" s="41"/>
      <c r="GB154" s="41"/>
      <c r="GC154" s="41"/>
      <c r="GD154" s="41"/>
      <c r="GE154" s="41"/>
      <c r="GF154" s="41"/>
      <c r="GG154" s="41"/>
    </row>
    <row r="155" spans="1:189" s="42" customFormat="1" ht="11.25">
      <c r="A155" s="255"/>
      <c r="B155" s="256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256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1"/>
      <c r="DZ155" s="41"/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/>
      <c r="EL155" s="41"/>
      <c r="EM155" s="41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  <c r="FF155" s="41"/>
      <c r="FG155" s="41"/>
      <c r="FH155" s="41"/>
      <c r="FI155" s="41"/>
      <c r="FJ155" s="41"/>
      <c r="FK155" s="41"/>
      <c r="FL155" s="41"/>
      <c r="FM155" s="41"/>
      <c r="FN155" s="41"/>
      <c r="FO155" s="41"/>
      <c r="FP155" s="41"/>
      <c r="FQ155" s="41"/>
      <c r="FR155" s="41"/>
      <c r="FS155" s="41"/>
      <c r="FT155" s="41"/>
      <c r="FU155" s="41"/>
      <c r="FV155" s="41"/>
      <c r="FW155" s="41"/>
      <c r="FX155" s="41"/>
      <c r="FY155" s="41"/>
      <c r="FZ155" s="41"/>
      <c r="GA155" s="41"/>
      <c r="GB155" s="41"/>
      <c r="GC155" s="41"/>
      <c r="GD155" s="41"/>
      <c r="GE155" s="41"/>
      <c r="GF155" s="41"/>
      <c r="GG155" s="41"/>
    </row>
    <row r="156" spans="1:189" s="42" customFormat="1" ht="11.25">
      <c r="A156" s="255"/>
      <c r="B156" s="256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256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  <c r="GG156" s="41"/>
    </row>
  </sheetData>
  <sheetProtection/>
  <mergeCells count="218">
    <mergeCell ref="CE1:CG1"/>
    <mergeCell ref="CD6:CQ6"/>
    <mergeCell ref="CK8:CK10"/>
    <mergeCell ref="CL8:CL10"/>
    <mergeCell ref="CE7:CE10"/>
    <mergeCell ref="C5:CQ5"/>
    <mergeCell ref="AW7:AW10"/>
    <mergeCell ref="CU123:CV123"/>
    <mergeCell ref="DX9:DX10"/>
    <mergeCell ref="CV8:CV10"/>
    <mergeCell ref="CJ8:CJ10"/>
    <mergeCell ref="CM8:CM10"/>
    <mergeCell ref="CN8:CN10"/>
    <mergeCell ref="DA7:DA10"/>
    <mergeCell ref="DL8:DL10"/>
    <mergeCell ref="DM8:DM10"/>
    <mergeCell ref="DO7:DO10"/>
    <mergeCell ref="CA9:CA10"/>
    <mergeCell ref="FQ9:FQ10"/>
    <mergeCell ref="GJ6:GJ10"/>
    <mergeCell ref="GK6:GK10"/>
    <mergeCell ref="CP8:CP10"/>
    <mergeCell ref="DK8:DK10"/>
    <mergeCell ref="GI5:GI10"/>
    <mergeCell ref="FK9:FN9"/>
    <mergeCell ref="CS5:GH5"/>
    <mergeCell ref="GA8:GA10"/>
    <mergeCell ref="GM6:GM10"/>
    <mergeCell ref="ER9:EV9"/>
    <mergeCell ref="EY9:EY10"/>
    <mergeCell ref="GL6:GL10"/>
    <mergeCell ref="CO8:CO10"/>
    <mergeCell ref="GJ5:GN5"/>
    <mergeCell ref="FZ7:GG7"/>
    <mergeCell ref="GE8:GE10"/>
    <mergeCell ref="GB8:GB10"/>
    <mergeCell ref="DQ7:DQ10"/>
    <mergeCell ref="EO7:EO10"/>
    <mergeCell ref="GN6:GN10"/>
    <mergeCell ref="EA9:EA10"/>
    <mergeCell ref="FW8:FX8"/>
    <mergeCell ref="T9:T10"/>
    <mergeCell ref="D128:D131"/>
    <mergeCell ref="CI8:CI10"/>
    <mergeCell ref="FY8:FY10"/>
    <mergeCell ref="CW8:CW10"/>
    <mergeCell ref="EL7:EL10"/>
    <mergeCell ref="FW9:FW10"/>
    <mergeCell ref="EG9:EG10"/>
    <mergeCell ref="DZ9:DZ10"/>
    <mergeCell ref="DT8:DT10"/>
    <mergeCell ref="AK8:AL8"/>
    <mergeCell ref="F8:F10"/>
    <mergeCell ref="CG9:CG10"/>
    <mergeCell ref="CG8:CH8"/>
    <mergeCell ref="CH9:CH10"/>
    <mergeCell ref="AA7:AA10"/>
    <mergeCell ref="CF7:CF10"/>
    <mergeCell ref="G8:G10"/>
    <mergeCell ref="Y7:Y10"/>
    <mergeCell ref="R9:R10"/>
    <mergeCell ref="AV7:AV10"/>
    <mergeCell ref="CD7:CD10"/>
    <mergeCell ref="AN9:AN10"/>
    <mergeCell ref="AF8:AF10"/>
    <mergeCell ref="AM8:AM10"/>
    <mergeCell ref="AH9:AH10"/>
    <mergeCell ref="AT7:AT10"/>
    <mergeCell ref="AS9:AS10"/>
    <mergeCell ref="AK9:AK10"/>
    <mergeCell ref="AR9:AR10"/>
    <mergeCell ref="W8:W10"/>
    <mergeCell ref="AL9:AL10"/>
    <mergeCell ref="L7:L10"/>
    <mergeCell ref="BZ9:BZ10"/>
    <mergeCell ref="AP9:AP10"/>
    <mergeCell ref="AO9:AO10"/>
    <mergeCell ref="AN8:AS8"/>
    <mergeCell ref="AX7:AX10"/>
    <mergeCell ref="U7:W7"/>
    <mergeCell ref="AQ9:AQ10"/>
    <mergeCell ref="R8:T8"/>
    <mergeCell ref="V8:V10"/>
    <mergeCell ref="BQ8:BX8"/>
    <mergeCell ref="J7:J10"/>
    <mergeCell ref="BB8:BI8"/>
    <mergeCell ref="AY7:AY10"/>
    <mergeCell ref="AU7:AU10"/>
    <mergeCell ref="O9:O10"/>
    <mergeCell ref="M7:T7"/>
    <mergeCell ref="Q9:Q10"/>
    <mergeCell ref="AY6:CC6"/>
    <mergeCell ref="BA7:BA10"/>
    <mergeCell ref="BU9:BX9"/>
    <mergeCell ref="CC9:CC10"/>
    <mergeCell ref="BG9:BH9"/>
    <mergeCell ref="BK9:BM9"/>
    <mergeCell ref="BQ9:BT9"/>
    <mergeCell ref="BI9:BI10"/>
    <mergeCell ref="AZ7:AZ10"/>
    <mergeCell ref="BY8:CC8"/>
    <mergeCell ref="FS9:FS10"/>
    <mergeCell ref="BY9:BY10"/>
    <mergeCell ref="BB9:BF9"/>
    <mergeCell ref="DX8:DZ8"/>
    <mergeCell ref="DV8:DV10"/>
    <mergeCell ref="EB9:EB10"/>
    <mergeCell ref="DY9:DY10"/>
    <mergeCell ref="CQ8:CQ10"/>
    <mergeCell ref="DW8:DW10"/>
    <mergeCell ref="CB9:CB10"/>
    <mergeCell ref="CT6:CY6"/>
    <mergeCell ref="CZ6:EN6"/>
    <mergeCell ref="CU8:CU10"/>
    <mergeCell ref="EC8:EC10"/>
    <mergeCell ref="EH9:EH10"/>
    <mergeCell ref="EA8:EB8"/>
    <mergeCell ref="ED9:ED10"/>
    <mergeCell ref="CT7:CY7"/>
    <mergeCell ref="CZ7:CZ10"/>
    <mergeCell ref="CX8:CX10"/>
    <mergeCell ref="EO6:FS6"/>
    <mergeCell ref="FT6:GG6"/>
    <mergeCell ref="FU7:FU10"/>
    <mergeCell ref="FO9:FO10"/>
    <mergeCell ref="EZ8:FF8"/>
    <mergeCell ref="ER8:EY8"/>
    <mergeCell ref="FG7:FS7"/>
    <mergeCell ref="FG8:FN8"/>
    <mergeCell ref="FO8:FS8"/>
    <mergeCell ref="GC8:GC10"/>
    <mergeCell ref="GH6:GH10"/>
    <mergeCell ref="BB7:BP7"/>
    <mergeCell ref="DX7:EI7"/>
    <mergeCell ref="DC9:DC10"/>
    <mergeCell ref="FX9:FX10"/>
    <mergeCell ref="CY8:CY10"/>
    <mergeCell ref="EN7:EN10"/>
    <mergeCell ref="ED8:EI8"/>
    <mergeCell ref="EP7:EP10"/>
    <mergeCell ref="FA9:FC9"/>
    <mergeCell ref="J6:AX6"/>
    <mergeCell ref="E8:E10"/>
    <mergeCell ref="K7:K10"/>
    <mergeCell ref="AH7:AS7"/>
    <mergeCell ref="H8:H10"/>
    <mergeCell ref="U8:U10"/>
    <mergeCell ref="AC8:AC10"/>
    <mergeCell ref="N9:N10"/>
    <mergeCell ref="AD8:AD10"/>
    <mergeCell ref="AE8:AE10"/>
    <mergeCell ref="M9:M10"/>
    <mergeCell ref="DK7:DM7"/>
    <mergeCell ref="DC8:DG8"/>
    <mergeCell ref="DC7:DJ7"/>
    <mergeCell ref="DB7:DB10"/>
    <mergeCell ref="CT8:CT10"/>
    <mergeCell ref="CJ7:CQ7"/>
    <mergeCell ref="AB8:AB10"/>
    <mergeCell ref="M8:Q8"/>
    <mergeCell ref="X7:X10"/>
    <mergeCell ref="A5:A10"/>
    <mergeCell ref="B5:B10"/>
    <mergeCell ref="C6:C10"/>
    <mergeCell ref="I8:I10"/>
    <mergeCell ref="D6:I6"/>
    <mergeCell ref="D7:I7"/>
    <mergeCell ref="D8:D10"/>
    <mergeCell ref="GD8:GD10"/>
    <mergeCell ref="DP7:DP10"/>
    <mergeCell ref="DH8:DJ8"/>
    <mergeCell ref="DF9:DF10"/>
    <mergeCell ref="FV7:FV10"/>
    <mergeCell ref="EW9:EX9"/>
    <mergeCell ref="FT7:FT10"/>
    <mergeCell ref="EQ7:EQ10"/>
    <mergeCell ref="ER7:FF7"/>
    <mergeCell ref="EI9:EI10"/>
    <mergeCell ref="DD9:DD10"/>
    <mergeCell ref="FW7:FY7"/>
    <mergeCell ref="DR8:DR10"/>
    <mergeCell ref="FZ8:FZ10"/>
    <mergeCell ref="FP9:FP10"/>
    <mergeCell ref="FR9:FR10"/>
    <mergeCell ref="DU8:DU10"/>
    <mergeCell ref="EJ7:EJ10"/>
    <mergeCell ref="FG9:FJ9"/>
    <mergeCell ref="EM7:EM10"/>
    <mergeCell ref="GG8:GG10"/>
    <mergeCell ref="DN7:DN10"/>
    <mergeCell ref="GF8:GF10"/>
    <mergeCell ref="CR5:CR10"/>
    <mergeCell ref="EF9:EF10"/>
    <mergeCell ref="CS6:CS10"/>
    <mergeCell ref="EK7:EK10"/>
    <mergeCell ref="EE9:EE10"/>
    <mergeCell ref="DI9:DI10"/>
    <mergeCell ref="DG9:DG10"/>
    <mergeCell ref="CG7:CI7"/>
    <mergeCell ref="AB7:AG7"/>
    <mergeCell ref="AG8:AG10"/>
    <mergeCell ref="DR7:DW7"/>
    <mergeCell ref="AJ9:AJ10"/>
    <mergeCell ref="AI9:AI10"/>
    <mergeCell ref="DJ9:DJ10"/>
    <mergeCell ref="BQ7:CC7"/>
    <mergeCell ref="DS8:DS10"/>
    <mergeCell ref="BJ8:BP8"/>
    <mergeCell ref="A2:CF2"/>
    <mergeCell ref="A3:CF3"/>
    <mergeCell ref="K4:L4"/>
    <mergeCell ref="DH9:DH10"/>
    <mergeCell ref="P9:P10"/>
    <mergeCell ref="DE9:DE10"/>
    <mergeCell ref="P4:Q4"/>
    <mergeCell ref="S9:S10"/>
    <mergeCell ref="Z7:Z10"/>
    <mergeCell ref="AH8:AJ8"/>
  </mergeCells>
  <printOptions/>
  <pageMargins left="0.28" right="0" top="0.24" bottom="0.2362204724409449" header="0.18" footer="0.236220472440944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J22" sqref="J22"/>
    </sheetView>
  </sheetViews>
  <sheetFormatPr defaultColWidth="8.796875" defaultRowHeight="15"/>
  <cols>
    <col min="1" max="1" width="4" style="4" customWidth="1"/>
    <col min="2" max="2" width="18.296875" style="4" customWidth="1"/>
    <col min="3" max="3" width="11.3984375" style="4" customWidth="1"/>
    <col min="4" max="4" width="11.8984375" style="144" customWidth="1"/>
    <col min="5" max="5" width="11.796875" style="4" customWidth="1"/>
    <col min="6" max="6" width="11.09765625" style="4" customWidth="1"/>
    <col min="7" max="7" width="11.8984375" style="4" customWidth="1"/>
    <col min="8" max="8" width="11.69921875" style="4" customWidth="1"/>
    <col min="9" max="9" width="11.19921875" style="4" customWidth="1"/>
    <col min="10" max="10" width="10.8984375" style="4" customWidth="1"/>
    <col min="11" max="11" width="11.796875" style="144" customWidth="1"/>
    <col min="12" max="12" width="9.296875" style="144" customWidth="1"/>
    <col min="13" max="13" width="6" style="4" customWidth="1"/>
    <col min="14" max="14" width="8" style="4" customWidth="1"/>
    <col min="15" max="15" width="12.796875" style="4" hidden="1" customWidth="1"/>
    <col min="16" max="16" width="10.296875" style="4" hidden="1" customWidth="1"/>
    <col min="17" max="17" width="11.8984375" style="4" hidden="1" customWidth="1"/>
    <col min="18" max="18" width="0" style="4" hidden="1" customWidth="1"/>
    <col min="19" max="16384" width="9" style="4" customWidth="1"/>
  </cols>
  <sheetData>
    <row r="1" spans="1:14" ht="17.25" customHeight="1">
      <c r="A1" s="1"/>
      <c r="B1" s="1"/>
      <c r="C1" s="2"/>
      <c r="D1" s="153"/>
      <c r="E1" s="2"/>
      <c r="F1" s="3"/>
      <c r="G1" s="2"/>
      <c r="H1" s="2"/>
      <c r="I1" s="2"/>
      <c r="J1" s="2"/>
      <c r="K1" s="282"/>
      <c r="L1" s="282"/>
      <c r="M1" s="129" t="s">
        <v>278</v>
      </c>
      <c r="N1" s="129"/>
    </row>
    <row r="2" spans="1:14" ht="21" customHeight="1">
      <c r="A2" s="3" t="s">
        <v>318</v>
      </c>
      <c r="B2" s="3"/>
      <c r="C2" s="6"/>
      <c r="D2" s="156"/>
      <c r="E2" s="6"/>
      <c r="F2" s="6"/>
      <c r="G2" s="6"/>
      <c r="H2" s="6"/>
      <c r="I2" s="6"/>
      <c r="J2" s="6"/>
      <c r="K2" s="156"/>
      <c r="L2" s="156"/>
      <c r="M2" s="6"/>
      <c r="N2" s="6"/>
    </row>
    <row r="3" spans="1:14" ht="21" customHeight="1">
      <c r="A3" s="3" t="s">
        <v>545</v>
      </c>
      <c r="B3" s="3"/>
      <c r="C3" s="2"/>
      <c r="D3" s="153"/>
      <c r="E3" s="2"/>
      <c r="F3" s="2"/>
      <c r="G3" s="2"/>
      <c r="H3" s="2"/>
      <c r="I3" s="2"/>
      <c r="J3" s="2"/>
      <c r="K3" s="153"/>
      <c r="L3" s="153"/>
      <c r="M3" s="2"/>
      <c r="N3" s="2"/>
    </row>
    <row r="4" spans="1:14" ht="20.25" customHeight="1">
      <c r="A4" s="250" t="str">
        <f>'Biểu 48'!A3</f>
        <v>(Kèm theo Nghị quyết số          /2019/NQ-HĐND ngày         /      /2019 của HĐND huyện Tuần Giáo)</v>
      </c>
      <c r="B4" s="7"/>
      <c r="C4" s="2"/>
      <c r="D4" s="153"/>
      <c r="E4" s="2"/>
      <c r="F4" s="2"/>
      <c r="G4" s="2"/>
      <c r="H4" s="2"/>
      <c r="I4" s="2"/>
      <c r="J4" s="2"/>
      <c r="K4" s="153"/>
      <c r="L4" s="153"/>
      <c r="M4" s="2"/>
      <c r="N4" s="2"/>
    </row>
    <row r="5" spans="1:14" ht="19.5" customHeight="1">
      <c r="A5" s="8"/>
      <c r="B5" s="8"/>
      <c r="C5" s="9"/>
      <c r="D5" s="22"/>
      <c r="E5" s="9"/>
      <c r="F5" s="12"/>
      <c r="G5" s="12"/>
      <c r="H5" s="12"/>
      <c r="I5" s="12"/>
      <c r="K5" s="274"/>
      <c r="L5" s="638" t="s">
        <v>276</v>
      </c>
      <c r="M5" s="638"/>
      <c r="N5" s="546"/>
    </row>
    <row r="6" spans="1:16" s="98" customFormat="1" ht="18.75" customHeight="1">
      <c r="A6" s="714" t="s">
        <v>2</v>
      </c>
      <c r="B6" s="714" t="s">
        <v>30</v>
      </c>
      <c r="C6" s="714" t="s">
        <v>6</v>
      </c>
      <c r="D6" s="717" t="s">
        <v>60</v>
      </c>
      <c r="E6" s="714" t="s">
        <v>66</v>
      </c>
      <c r="F6" s="714" t="s">
        <v>112</v>
      </c>
      <c r="G6" s="714" t="s">
        <v>116</v>
      </c>
      <c r="H6" s="718" t="s">
        <v>31</v>
      </c>
      <c r="I6" s="719"/>
      <c r="J6" s="720"/>
      <c r="K6" s="717" t="s">
        <v>369</v>
      </c>
      <c r="L6" s="715" t="s">
        <v>370</v>
      </c>
      <c r="M6" s="714" t="s">
        <v>87</v>
      </c>
      <c r="N6" s="547"/>
      <c r="P6" s="279" t="s">
        <v>565</v>
      </c>
    </row>
    <row r="7" spans="1:14" s="98" customFormat="1" ht="26.25" customHeight="1">
      <c r="A7" s="716"/>
      <c r="B7" s="714"/>
      <c r="C7" s="714"/>
      <c r="D7" s="717"/>
      <c r="E7" s="714"/>
      <c r="F7" s="714"/>
      <c r="G7" s="714"/>
      <c r="H7" s="714" t="s">
        <v>279</v>
      </c>
      <c r="I7" s="714" t="s">
        <v>280</v>
      </c>
      <c r="J7" s="717" t="s">
        <v>191</v>
      </c>
      <c r="K7" s="717"/>
      <c r="L7" s="715"/>
      <c r="M7" s="714"/>
      <c r="N7" s="547"/>
    </row>
    <row r="8" spans="1:15" s="98" customFormat="1" ht="18" customHeight="1">
      <c r="A8" s="716"/>
      <c r="B8" s="714"/>
      <c r="C8" s="714"/>
      <c r="D8" s="717"/>
      <c r="E8" s="714"/>
      <c r="F8" s="714"/>
      <c r="G8" s="714"/>
      <c r="H8" s="714"/>
      <c r="I8" s="714"/>
      <c r="J8" s="717"/>
      <c r="K8" s="717"/>
      <c r="L8" s="715"/>
      <c r="M8" s="714"/>
      <c r="N8" s="547"/>
      <c r="O8" s="284"/>
    </row>
    <row r="9" spans="1:15" s="98" customFormat="1" ht="17.25" customHeight="1">
      <c r="A9" s="716"/>
      <c r="B9" s="714"/>
      <c r="C9" s="714"/>
      <c r="D9" s="717"/>
      <c r="E9" s="714"/>
      <c r="F9" s="714"/>
      <c r="G9" s="714"/>
      <c r="H9" s="714"/>
      <c r="I9" s="714"/>
      <c r="J9" s="717"/>
      <c r="K9" s="717"/>
      <c r="L9" s="715"/>
      <c r="M9" s="714"/>
      <c r="N9" s="547"/>
      <c r="O9" s="275"/>
    </row>
    <row r="10" spans="1:16" s="132" customFormat="1" ht="17.25" customHeight="1">
      <c r="A10" s="130" t="s">
        <v>9</v>
      </c>
      <c r="B10" s="130" t="s">
        <v>10</v>
      </c>
      <c r="C10" s="130">
        <v>1</v>
      </c>
      <c r="D10" s="283">
        <f>C10+1</f>
        <v>2</v>
      </c>
      <c r="E10" s="130">
        <v>3</v>
      </c>
      <c r="F10" s="131">
        <v>4</v>
      </c>
      <c r="G10" s="130">
        <v>5</v>
      </c>
      <c r="H10" s="131">
        <v>6</v>
      </c>
      <c r="I10" s="130">
        <v>7</v>
      </c>
      <c r="J10" s="131">
        <v>8</v>
      </c>
      <c r="K10" s="130">
        <v>9</v>
      </c>
      <c r="L10" s="131">
        <v>10</v>
      </c>
      <c r="M10" s="130" t="s">
        <v>640</v>
      </c>
      <c r="N10" s="548"/>
      <c r="P10" s="284"/>
    </row>
    <row r="11" spans="1:16" s="133" customFormat="1" ht="25.5" customHeight="1">
      <c r="A11" s="104"/>
      <c r="B11" s="105" t="s">
        <v>29</v>
      </c>
      <c r="C11" s="106">
        <f>C12+C17+C21</f>
        <v>72731200000</v>
      </c>
      <c r="D11" s="299">
        <f aca="true" t="shared" si="0" ref="D11:L11">D12+D17+D21</f>
        <v>86602949259</v>
      </c>
      <c r="E11" s="106">
        <f t="shared" si="0"/>
        <v>18496061000</v>
      </c>
      <c r="F11" s="106">
        <f t="shared" si="0"/>
        <v>6593301000</v>
      </c>
      <c r="G11" s="106">
        <f t="shared" si="0"/>
        <v>43328292985</v>
      </c>
      <c r="H11" s="106">
        <f t="shared" si="0"/>
        <v>40356044985</v>
      </c>
      <c r="I11" s="106">
        <f t="shared" si="0"/>
        <v>1842200000</v>
      </c>
      <c r="J11" s="106">
        <f t="shared" si="0"/>
        <v>1130048000</v>
      </c>
      <c r="K11" s="299">
        <f t="shared" si="0"/>
        <v>18060754274</v>
      </c>
      <c r="L11" s="106">
        <f t="shared" si="0"/>
        <v>124540000</v>
      </c>
      <c r="M11" s="578">
        <f>D11/C11</f>
        <v>1.190726253093583</v>
      </c>
      <c r="N11" s="579"/>
      <c r="O11" s="276">
        <f>'Biểu 54'!CT12+'Biểu 54'!EP12+'Biểu 54'!FU12+'Biểu 54'!CS103</f>
        <v>86602949259</v>
      </c>
      <c r="P11" s="276">
        <f>O11-D11</f>
        <v>0</v>
      </c>
    </row>
    <row r="12" spans="1:16" s="133" customFormat="1" ht="25.5" customHeight="1">
      <c r="A12" s="107" t="s">
        <v>18</v>
      </c>
      <c r="B12" s="108" t="s">
        <v>563</v>
      </c>
      <c r="C12" s="110">
        <f aca="true" t="shared" si="1" ref="C12:L12">SUM(C13:C16)</f>
        <v>13225000000</v>
      </c>
      <c r="D12" s="110">
        <f t="shared" si="1"/>
        <v>17793398774</v>
      </c>
      <c r="E12" s="110">
        <f t="shared" si="1"/>
        <v>0</v>
      </c>
      <c r="F12" s="110">
        <f t="shared" si="1"/>
        <v>467057000</v>
      </c>
      <c r="G12" s="110">
        <f t="shared" si="1"/>
        <v>8100322000</v>
      </c>
      <c r="H12" s="110">
        <f t="shared" si="1"/>
        <v>6354672000</v>
      </c>
      <c r="I12" s="110">
        <f t="shared" si="1"/>
        <v>1245650000</v>
      </c>
      <c r="J12" s="110">
        <f t="shared" si="1"/>
        <v>500000000</v>
      </c>
      <c r="K12" s="135">
        <f t="shared" si="1"/>
        <v>9226019774</v>
      </c>
      <c r="L12" s="110">
        <f t="shared" si="1"/>
        <v>0</v>
      </c>
      <c r="M12" s="580">
        <f>D12/C12</f>
        <v>1.3454365802646502</v>
      </c>
      <c r="N12" s="579"/>
      <c r="O12" s="276">
        <f>'Biểu 54'!CT13+'Biểu 54'!CT103</f>
        <v>17793398774</v>
      </c>
      <c r="P12" s="276">
        <f>O12-D12</f>
        <v>0</v>
      </c>
    </row>
    <row r="13" spans="1:15" s="98" customFormat="1" ht="25.5" customHeight="1">
      <c r="A13" s="134">
        <v>1</v>
      </c>
      <c r="B13" s="103" t="s">
        <v>547</v>
      </c>
      <c r="C13" s="136">
        <v>468000000</v>
      </c>
      <c r="D13" s="136">
        <f>SUM(E13:G13,K13:L13)</f>
        <v>467057000</v>
      </c>
      <c r="E13" s="99"/>
      <c r="F13" s="99">
        <v>467057000</v>
      </c>
      <c r="G13" s="99">
        <f>SUM(H13,I13,J13)</f>
        <v>0</v>
      </c>
      <c r="H13" s="99"/>
      <c r="I13" s="99"/>
      <c r="J13" s="99"/>
      <c r="K13" s="136"/>
      <c r="L13" s="136"/>
      <c r="M13" s="581">
        <f>D13/C13</f>
        <v>0.9979850427350427</v>
      </c>
      <c r="N13" s="582"/>
      <c r="O13" s="275"/>
    </row>
    <row r="14" spans="1:15" s="98" customFormat="1" ht="25.5" customHeight="1">
      <c r="A14" s="134">
        <v>2</v>
      </c>
      <c r="B14" s="103" t="s">
        <v>371</v>
      </c>
      <c r="C14" s="136"/>
      <c r="D14" s="136">
        <f>SUM(E14:G14,K14:L14)</f>
        <v>500000000</v>
      </c>
      <c r="E14" s="99"/>
      <c r="F14" s="99"/>
      <c r="G14" s="99">
        <f>SUM(H14,I14,J14)</f>
        <v>500000000</v>
      </c>
      <c r="H14" s="99"/>
      <c r="I14" s="99"/>
      <c r="J14" s="99">
        <v>500000000</v>
      </c>
      <c r="K14" s="136"/>
      <c r="L14" s="136"/>
      <c r="M14" s="581"/>
      <c r="N14" s="582"/>
      <c r="O14" s="275"/>
    </row>
    <row r="15" spans="1:14" s="98" customFormat="1" ht="25.5" customHeight="1">
      <c r="A15" s="134">
        <v>3</v>
      </c>
      <c r="B15" s="99" t="s">
        <v>548</v>
      </c>
      <c r="C15" s="99">
        <v>12757000000</v>
      </c>
      <c r="D15" s="136">
        <f>SUM(E15:G15,K15:L15)</f>
        <v>13041810000</v>
      </c>
      <c r="E15" s="99"/>
      <c r="F15" s="99"/>
      <c r="G15" s="99">
        <f>SUM(H15,I15,J15)</f>
        <v>7600322000</v>
      </c>
      <c r="H15" s="99">
        <v>6354672000</v>
      </c>
      <c r="I15" s="99">
        <f>23750000+1221900000</f>
        <v>1245650000</v>
      </c>
      <c r="J15" s="99"/>
      <c r="K15" s="136">
        <f>5441488000</f>
        <v>5441488000</v>
      </c>
      <c r="L15" s="136"/>
      <c r="M15" s="581">
        <f aca="true" t="shared" si="2" ref="M15:M22">D15/C15</f>
        <v>1.0223257819236498</v>
      </c>
      <c r="N15" s="582"/>
    </row>
    <row r="16" spans="1:14" s="98" customFormat="1" ht="25.5" customHeight="1">
      <c r="A16" s="134">
        <v>4</v>
      </c>
      <c r="B16" s="99" t="s">
        <v>592</v>
      </c>
      <c r="C16" s="99"/>
      <c r="D16" s="136">
        <f>SUM(E16:G16,K16:L16)</f>
        <v>3784531774</v>
      </c>
      <c r="E16" s="99"/>
      <c r="F16" s="99"/>
      <c r="G16" s="99"/>
      <c r="H16" s="99"/>
      <c r="I16" s="99"/>
      <c r="J16" s="99"/>
      <c r="K16" s="136">
        <v>3784531774</v>
      </c>
      <c r="L16" s="136"/>
      <c r="M16" s="581"/>
      <c r="N16" s="582"/>
    </row>
    <row r="17" spans="1:18" s="133" customFormat="1" ht="25.5" customHeight="1">
      <c r="A17" s="107" t="s">
        <v>19</v>
      </c>
      <c r="B17" s="110" t="s">
        <v>549</v>
      </c>
      <c r="C17" s="110">
        <f>SUM(C18:C20)</f>
        <v>56988200000</v>
      </c>
      <c r="D17" s="110">
        <f>SUM(D18:D20)</f>
        <v>65572108000</v>
      </c>
      <c r="E17" s="110">
        <f aca="true" t="shared" si="3" ref="E17:L17">SUM(E18:E20)</f>
        <v>18496061000</v>
      </c>
      <c r="F17" s="110">
        <f t="shared" si="3"/>
        <v>6126244000</v>
      </c>
      <c r="G17" s="110">
        <f t="shared" si="3"/>
        <v>32650528500</v>
      </c>
      <c r="H17" s="110">
        <f t="shared" si="3"/>
        <v>31423930500</v>
      </c>
      <c r="I17" s="110">
        <f t="shared" si="3"/>
        <v>596550000</v>
      </c>
      <c r="J17" s="110">
        <f t="shared" si="3"/>
        <v>630048000</v>
      </c>
      <c r="K17" s="135">
        <f t="shared" si="3"/>
        <v>8174734500</v>
      </c>
      <c r="L17" s="110">
        <f t="shared" si="3"/>
        <v>124540000</v>
      </c>
      <c r="M17" s="580">
        <f t="shared" si="2"/>
        <v>1.150626059429847</v>
      </c>
      <c r="N17" s="579"/>
      <c r="O17" s="276">
        <f>'Biểu 54'!EO13+'Biểu 54'!EO103</f>
        <v>65572108000</v>
      </c>
      <c r="P17" s="276">
        <f>O17-D17</f>
        <v>0</v>
      </c>
      <c r="Q17" s="275">
        <v>15106953570</v>
      </c>
      <c r="R17" s="133" t="s">
        <v>643</v>
      </c>
    </row>
    <row r="18" spans="1:17" s="98" customFormat="1" ht="25.5" customHeight="1">
      <c r="A18" s="134">
        <v>1</v>
      </c>
      <c r="B18" s="99" t="s">
        <v>548</v>
      </c>
      <c r="C18" s="99">
        <v>56988200000</v>
      </c>
      <c r="D18" s="136">
        <f>SUM(E18:G18,K18:L18)</f>
        <v>65441917000</v>
      </c>
      <c r="E18" s="99">
        <f>170000000+3202478000+14988583000+135000000</f>
        <v>18496061000</v>
      </c>
      <c r="F18" s="99">
        <f>5929244000+197000000</f>
        <v>6126244000</v>
      </c>
      <c r="G18" s="99">
        <f>SUM(H18,I18,J18)</f>
        <v>32644877500</v>
      </c>
      <c r="H18" s="99">
        <f>996658500+19287924000+10817348000+322000000-5651000</f>
        <v>31418279500</v>
      </c>
      <c r="I18" s="99">
        <f>596550000</f>
        <v>596550000</v>
      </c>
      <c r="J18" s="99">
        <f>378150000+251898000</f>
        <v>630048000</v>
      </c>
      <c r="K18" s="136">
        <f>7364764500+810000000-30000</f>
        <v>8174734500</v>
      </c>
      <c r="L18" s="136"/>
      <c r="M18" s="581">
        <f t="shared" si="2"/>
        <v>1.1483415338613958</v>
      </c>
      <c r="N18" s="582"/>
      <c r="P18" s="275"/>
      <c r="Q18" s="275">
        <f>K15+K18+'Biểu 56'!V36</f>
        <v>15089725500</v>
      </c>
    </row>
    <row r="19" spans="1:18" s="98" customFormat="1" ht="25.5" customHeight="1">
      <c r="A19" s="134">
        <v>2</v>
      </c>
      <c r="B19" s="99" t="s">
        <v>262</v>
      </c>
      <c r="C19" s="99"/>
      <c r="D19" s="136">
        <f>SUM(E19:G19,K19:L19)</f>
        <v>5651000</v>
      </c>
      <c r="E19" s="99"/>
      <c r="F19" s="99"/>
      <c r="G19" s="99">
        <f>SUM(H19,I19,J19)</f>
        <v>5651000</v>
      </c>
      <c r="H19" s="99">
        <v>5651000</v>
      </c>
      <c r="I19" s="99"/>
      <c r="J19" s="99"/>
      <c r="K19" s="136"/>
      <c r="L19" s="136"/>
      <c r="M19" s="581"/>
      <c r="N19" s="582"/>
      <c r="Q19" s="275">
        <f>Q17-Q18</f>
        <v>17228070</v>
      </c>
      <c r="R19" s="98" t="s">
        <v>644</v>
      </c>
    </row>
    <row r="20" spans="1:14" s="98" customFormat="1" ht="25.5" customHeight="1">
      <c r="A20" s="134">
        <v>3</v>
      </c>
      <c r="B20" s="99" t="s">
        <v>592</v>
      </c>
      <c r="C20" s="99"/>
      <c r="D20" s="136">
        <f>SUM(E20:G20,K20:L20)</f>
        <v>124540000</v>
      </c>
      <c r="E20" s="99"/>
      <c r="F20" s="99"/>
      <c r="G20" s="99"/>
      <c r="H20" s="99"/>
      <c r="I20" s="99"/>
      <c r="J20" s="99"/>
      <c r="K20" s="136"/>
      <c r="L20" s="136">
        <f>124140000+400000</f>
        <v>124540000</v>
      </c>
      <c r="M20" s="581"/>
      <c r="N20" s="582"/>
    </row>
    <row r="21" spans="1:16" s="133" customFormat="1" ht="25.5" customHeight="1">
      <c r="A21" s="107" t="s">
        <v>20</v>
      </c>
      <c r="B21" s="110" t="s">
        <v>550</v>
      </c>
      <c r="C21" s="135">
        <f aca="true" t="shared" si="4" ref="C21:L21">SUM(C22:C23)</f>
        <v>2518000000</v>
      </c>
      <c r="D21" s="135">
        <f t="shared" si="4"/>
        <v>3237442485</v>
      </c>
      <c r="E21" s="135">
        <f t="shared" si="4"/>
        <v>0</v>
      </c>
      <c r="F21" s="135">
        <f t="shared" si="4"/>
        <v>0</v>
      </c>
      <c r="G21" s="135">
        <f t="shared" si="4"/>
        <v>2577442485</v>
      </c>
      <c r="H21" s="135">
        <f t="shared" si="4"/>
        <v>2577442485</v>
      </c>
      <c r="I21" s="135">
        <f t="shared" si="4"/>
        <v>0</v>
      </c>
      <c r="J21" s="135">
        <f t="shared" si="4"/>
        <v>0</v>
      </c>
      <c r="K21" s="135">
        <f t="shared" si="4"/>
        <v>660000000</v>
      </c>
      <c r="L21" s="135">
        <f t="shared" si="4"/>
        <v>0</v>
      </c>
      <c r="M21" s="580">
        <f t="shared" si="2"/>
        <v>1.2857198113582209</v>
      </c>
      <c r="N21" s="579"/>
      <c r="O21" s="276">
        <f>'Biểu 54'!FT13+'Biểu 54'!FT103</f>
        <v>3237442485</v>
      </c>
      <c r="P21" s="276">
        <f>O21-D21</f>
        <v>0</v>
      </c>
    </row>
    <row r="22" spans="1:16" s="98" customFormat="1" ht="25.5" customHeight="1">
      <c r="A22" s="134">
        <v>1</v>
      </c>
      <c r="B22" s="99" t="s">
        <v>548</v>
      </c>
      <c r="C22" s="99">
        <v>2518000000</v>
      </c>
      <c r="D22" s="136">
        <f>SUM(E22:G22,K22:L22)</f>
        <v>2577442485</v>
      </c>
      <c r="E22" s="99"/>
      <c r="F22" s="99"/>
      <c r="G22" s="99">
        <f>SUM(H22,I22,J22)</f>
        <v>2577442485</v>
      </c>
      <c r="H22" s="99">
        <v>2577442485</v>
      </c>
      <c r="I22" s="99"/>
      <c r="J22" s="99"/>
      <c r="K22" s="136"/>
      <c r="L22" s="136"/>
      <c r="M22" s="581">
        <f t="shared" si="2"/>
        <v>1.0236070234312946</v>
      </c>
      <c r="N22" s="582"/>
      <c r="P22" s="275"/>
    </row>
    <row r="23" spans="1:14" s="98" customFormat="1" ht="25.5" customHeight="1">
      <c r="A23" s="137">
        <v>2</v>
      </c>
      <c r="B23" s="138" t="s">
        <v>592</v>
      </c>
      <c r="C23" s="138"/>
      <c r="D23" s="142">
        <f>SUM(E23:G23,K23:L23)</f>
        <v>660000000</v>
      </c>
      <c r="E23" s="138"/>
      <c r="F23" s="138"/>
      <c r="G23" s="138">
        <f>SUM(H23,I23,J23)</f>
        <v>0</v>
      </c>
      <c r="H23" s="138"/>
      <c r="I23" s="138"/>
      <c r="J23" s="138"/>
      <c r="K23" s="142">
        <v>660000000</v>
      </c>
      <c r="L23" s="142"/>
      <c r="M23" s="583"/>
      <c r="N23" s="582"/>
    </row>
    <row r="24" spans="4:12" s="98" customFormat="1" ht="12.75">
      <c r="D24" s="271"/>
      <c r="K24" s="143"/>
      <c r="L24" s="143"/>
    </row>
    <row r="25" spans="4:12" s="98" customFormat="1" ht="12.75">
      <c r="D25" s="143"/>
      <c r="K25" s="143"/>
      <c r="L25" s="143"/>
    </row>
    <row r="26" spans="4:12" s="98" customFormat="1" ht="12.75">
      <c r="D26" s="143"/>
      <c r="K26" s="143"/>
      <c r="L26" s="143"/>
    </row>
    <row r="27" spans="4:12" s="98" customFormat="1" ht="12.75">
      <c r="D27" s="143"/>
      <c r="K27" s="143"/>
      <c r="L27" s="143"/>
    </row>
    <row r="28" spans="4:12" s="98" customFormat="1" ht="12.75">
      <c r="D28" s="143"/>
      <c r="K28" s="143"/>
      <c r="L28" s="143"/>
    </row>
    <row r="29" spans="4:12" s="98" customFormat="1" ht="22.5" customHeight="1">
      <c r="D29" s="143"/>
      <c r="K29" s="143"/>
      <c r="L29" s="143"/>
    </row>
    <row r="30" spans="1:14" ht="18.75">
      <c r="A30" s="9"/>
      <c r="B30" s="9"/>
      <c r="C30" s="9"/>
      <c r="D30" s="22"/>
      <c r="E30" s="9"/>
      <c r="F30" s="9"/>
      <c r="G30" s="9"/>
      <c r="H30" s="9"/>
      <c r="I30" s="9"/>
      <c r="J30" s="9"/>
      <c r="K30" s="22"/>
      <c r="L30" s="22"/>
      <c r="M30" s="9"/>
      <c r="N30" s="9"/>
    </row>
    <row r="31" spans="1:14" ht="18.75">
      <c r="A31" s="9"/>
      <c r="B31" s="9"/>
      <c r="C31" s="9"/>
      <c r="D31" s="22"/>
      <c r="E31" s="9"/>
      <c r="F31" s="9"/>
      <c r="G31" s="9"/>
      <c r="H31" s="9"/>
      <c r="I31" s="9"/>
      <c r="J31" s="9"/>
      <c r="K31" s="22"/>
      <c r="L31" s="22"/>
      <c r="M31" s="9"/>
      <c r="N31" s="9"/>
    </row>
    <row r="32" spans="1:14" ht="18.75">
      <c r="A32" s="9"/>
      <c r="B32" s="9"/>
      <c r="C32" s="9"/>
      <c r="D32" s="22"/>
      <c r="E32" s="9"/>
      <c r="F32" s="9"/>
      <c r="G32" s="9"/>
      <c r="H32" s="9"/>
      <c r="I32" s="9"/>
      <c r="J32" s="9"/>
      <c r="K32" s="22"/>
      <c r="L32" s="22"/>
      <c r="M32" s="9"/>
      <c r="N32" s="9"/>
    </row>
    <row r="33" spans="1:14" ht="18.75">
      <c r="A33" s="9"/>
      <c r="B33" s="9"/>
      <c r="C33" s="9"/>
      <c r="D33" s="22"/>
      <c r="E33" s="9"/>
      <c r="F33" s="9"/>
      <c r="G33" s="9"/>
      <c r="H33" s="9"/>
      <c r="I33" s="9"/>
      <c r="J33" s="9"/>
      <c r="K33" s="22"/>
      <c r="L33" s="22"/>
      <c r="M33" s="9"/>
      <c r="N33" s="9"/>
    </row>
  </sheetData>
  <sheetProtection/>
  <mergeCells count="15">
    <mergeCell ref="L5:M5"/>
    <mergeCell ref="J7:J9"/>
    <mergeCell ref="H6:J6"/>
    <mergeCell ref="G6:G9"/>
    <mergeCell ref="M6:M9"/>
    <mergeCell ref="F6:F9"/>
    <mergeCell ref="L6:L9"/>
    <mergeCell ref="A6:A9"/>
    <mergeCell ref="C6:C9"/>
    <mergeCell ref="D6:D9"/>
    <mergeCell ref="E6:E9"/>
    <mergeCell ref="B6:B9"/>
    <mergeCell ref="K6:K9"/>
    <mergeCell ref="H7:H9"/>
    <mergeCell ref="I7:I9"/>
  </mergeCells>
  <printOptions/>
  <pageMargins left="0" right="0" top="0.36" bottom="0.25" header="0" footer="0.25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54"/>
  <sheetViews>
    <sheetView zoomScale="120" zoomScaleNormal="120" zoomScalePageLayoutView="0" workbookViewId="0" topLeftCell="S1">
      <selection activeCell="G16" sqref="G16"/>
    </sheetView>
  </sheetViews>
  <sheetFormatPr defaultColWidth="8.796875" defaultRowHeight="15"/>
  <cols>
    <col min="1" max="1" width="4.3984375" style="144" customWidth="1"/>
    <col min="2" max="2" width="17" style="144" customWidth="1"/>
    <col min="3" max="3" width="11.69921875" style="144" customWidth="1"/>
    <col min="4" max="4" width="11.796875" style="144" customWidth="1"/>
    <col min="5" max="5" width="11.69921875" style="144" customWidth="1"/>
    <col min="6" max="6" width="9" style="144" customWidth="1"/>
    <col min="7" max="8" width="9.796875" style="144" customWidth="1"/>
    <col min="9" max="9" width="9.296875" style="144" customWidth="1"/>
    <col min="10" max="10" width="9.8984375" style="144" customWidth="1"/>
    <col min="11" max="12" width="9.69921875" style="144" customWidth="1"/>
    <col min="13" max="13" width="10.09765625" style="144" customWidth="1"/>
    <col min="14" max="14" width="18.8984375" style="144" customWidth="1"/>
    <col min="15" max="15" width="11.09765625" style="144" customWidth="1"/>
    <col min="16" max="16" width="10.69921875" style="144" customWidth="1"/>
    <col min="17" max="17" width="16" style="144" customWidth="1"/>
    <col min="18" max="18" width="9.8984375" style="144" customWidth="1"/>
    <col min="19" max="19" width="14.09765625" style="144" customWidth="1"/>
    <col min="20" max="20" width="11.09765625" style="144" customWidth="1"/>
    <col min="21" max="21" width="8.8984375" style="144" customWidth="1"/>
    <col min="22" max="22" width="11.796875" style="144" customWidth="1"/>
    <col min="23" max="23" width="10.3984375" style="144" customWidth="1"/>
    <col min="24" max="24" width="9.69921875" style="144" customWidth="1"/>
    <col min="25" max="25" width="7" style="144" customWidth="1"/>
    <col min="26" max="27" width="10.796875" style="356" hidden="1" customWidth="1"/>
    <col min="28" max="38" width="9" style="356" customWidth="1"/>
    <col min="39" max="16384" width="9" style="144" customWidth="1"/>
  </cols>
  <sheetData>
    <row r="1" spans="1:22" ht="16.5" customHeight="1">
      <c r="A1" s="152"/>
      <c r="B1" s="152"/>
      <c r="C1" s="153"/>
      <c r="D1" s="153"/>
      <c r="E1" s="153"/>
      <c r="F1" s="153"/>
      <c r="G1" s="153"/>
      <c r="H1" s="154"/>
      <c r="I1" s="154"/>
      <c r="J1" s="154"/>
      <c r="L1" s="358"/>
      <c r="M1" s="577" t="s">
        <v>281</v>
      </c>
      <c r="N1" s="577"/>
      <c r="P1" s="153"/>
      <c r="Q1" s="153"/>
      <c r="R1" s="153"/>
      <c r="S1" s="282"/>
      <c r="T1" s="282"/>
      <c r="V1" s="282"/>
    </row>
    <row r="2" spans="1:25" ht="18.75" customHeight="1">
      <c r="A2" s="597" t="s">
        <v>650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54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</row>
    <row r="3" spans="1:25" ht="17.25" customHeight="1">
      <c r="A3" s="723" t="str">
        <f>'Biểu 48'!A3</f>
        <v>(Kèm theo Nghị quyết số          /2019/NQ-HĐND ngày         /      /2019 của HĐND huyện Tuần Giáo)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586"/>
      <c r="O3" s="349"/>
      <c r="P3" s="349"/>
      <c r="Q3" s="349"/>
      <c r="R3" s="349"/>
      <c r="S3" s="359"/>
      <c r="T3" s="349"/>
      <c r="U3" s="349"/>
      <c r="V3" s="349"/>
      <c r="W3" s="349"/>
      <c r="X3" s="349"/>
      <c r="Y3" s="349"/>
    </row>
    <row r="4" spans="1:22" ht="14.25" customHeight="1">
      <c r="A4" s="157"/>
      <c r="B4" s="360"/>
      <c r="C4" s="356"/>
      <c r="D4" s="183"/>
      <c r="E4" s="22"/>
      <c r="F4" s="22"/>
      <c r="G4" s="22"/>
      <c r="H4" s="158"/>
      <c r="I4" s="158"/>
      <c r="J4" s="158"/>
      <c r="L4" s="585" t="s">
        <v>276</v>
      </c>
      <c r="M4" s="274"/>
      <c r="N4" s="587"/>
      <c r="O4" s="158"/>
      <c r="P4" s="158"/>
      <c r="Q4" s="158"/>
      <c r="R4" s="158"/>
      <c r="S4" s="158"/>
      <c r="V4" s="158"/>
    </row>
    <row r="5" spans="1:38" s="143" customFormat="1" ht="14.25" customHeight="1">
      <c r="A5" s="715" t="s">
        <v>2</v>
      </c>
      <c r="B5" s="721" t="s">
        <v>30</v>
      </c>
      <c r="C5" s="715" t="s">
        <v>6</v>
      </c>
      <c r="D5" s="715" t="s">
        <v>60</v>
      </c>
      <c r="E5" s="715" t="s">
        <v>66</v>
      </c>
      <c r="F5" s="715" t="s">
        <v>42</v>
      </c>
      <c r="G5" s="715" t="s">
        <v>109</v>
      </c>
      <c r="H5" s="715" t="s">
        <v>110</v>
      </c>
      <c r="I5" s="715" t="s">
        <v>111</v>
      </c>
      <c r="J5" s="715" t="s">
        <v>112</v>
      </c>
      <c r="K5" s="715" t="s">
        <v>113</v>
      </c>
      <c r="L5" s="715" t="s">
        <v>114</v>
      </c>
      <c r="M5" s="715" t="s">
        <v>115</v>
      </c>
      <c r="N5" s="721" t="s">
        <v>30</v>
      </c>
      <c r="O5" s="724" t="s">
        <v>116</v>
      </c>
      <c r="P5" s="725"/>
      <c r="Q5" s="725"/>
      <c r="R5" s="726"/>
      <c r="S5" s="715" t="s">
        <v>117</v>
      </c>
      <c r="T5" s="715" t="s">
        <v>118</v>
      </c>
      <c r="U5" s="715" t="s">
        <v>119</v>
      </c>
      <c r="V5" s="715" t="s">
        <v>369</v>
      </c>
      <c r="W5" s="715" t="s">
        <v>370</v>
      </c>
      <c r="X5" s="715" t="s">
        <v>87</v>
      </c>
      <c r="Y5" s="361"/>
      <c r="Z5" s="356">
        <f>C10+'Biểu 55'!C11</f>
        <v>575440200000</v>
      </c>
      <c r="AA5" s="356">
        <f>Z5-'Biểu 52'!C13</f>
        <v>0</v>
      </c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</row>
    <row r="6" spans="1:38" s="143" customFormat="1" ht="15.75" customHeight="1">
      <c r="A6" s="721"/>
      <c r="B6" s="721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21"/>
      <c r="O6" s="722" t="s">
        <v>427</v>
      </c>
      <c r="P6" s="722" t="s">
        <v>279</v>
      </c>
      <c r="Q6" s="722" t="s">
        <v>280</v>
      </c>
      <c r="R6" s="722" t="s">
        <v>191</v>
      </c>
      <c r="S6" s="715"/>
      <c r="T6" s="715"/>
      <c r="U6" s="715"/>
      <c r="V6" s="715"/>
      <c r="W6" s="715"/>
      <c r="X6" s="715"/>
      <c r="Y6" s="361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</row>
    <row r="7" spans="1:38" s="143" customFormat="1" ht="15" customHeight="1">
      <c r="A7" s="721"/>
      <c r="B7" s="721"/>
      <c r="C7" s="715"/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21"/>
      <c r="O7" s="715"/>
      <c r="P7" s="715"/>
      <c r="Q7" s="715"/>
      <c r="R7" s="715"/>
      <c r="S7" s="715"/>
      <c r="T7" s="715"/>
      <c r="U7" s="715"/>
      <c r="V7" s="715"/>
      <c r="W7" s="715"/>
      <c r="X7" s="715"/>
      <c r="Y7" s="361"/>
      <c r="Z7" s="356" t="s">
        <v>565</v>
      </c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</row>
    <row r="8" spans="1:38" s="143" customFormat="1" ht="3.75" customHeight="1" hidden="1">
      <c r="A8" s="721"/>
      <c r="B8" s="721"/>
      <c r="C8" s="715"/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21"/>
      <c r="O8" s="362"/>
      <c r="P8" s="715"/>
      <c r="Q8" s="715"/>
      <c r="R8" s="715"/>
      <c r="S8" s="715"/>
      <c r="T8" s="715"/>
      <c r="U8" s="715"/>
      <c r="V8" s="715"/>
      <c r="W8" s="715"/>
      <c r="X8" s="715"/>
      <c r="Y8" s="361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</row>
    <row r="9" spans="1:38" s="364" customFormat="1" ht="12.75" customHeight="1">
      <c r="A9" s="164" t="s">
        <v>9</v>
      </c>
      <c r="B9" s="164" t="s">
        <v>10</v>
      </c>
      <c r="C9" s="164">
        <v>1</v>
      </c>
      <c r="D9" s="350">
        <f aca="true" t="shared" si="0" ref="D9:W9">C9+1</f>
        <v>2</v>
      </c>
      <c r="E9" s="350">
        <f t="shared" si="0"/>
        <v>3</v>
      </c>
      <c r="F9" s="350">
        <f t="shared" si="0"/>
        <v>4</v>
      </c>
      <c r="G9" s="350">
        <f t="shared" si="0"/>
        <v>5</v>
      </c>
      <c r="H9" s="350">
        <f t="shared" si="0"/>
        <v>6</v>
      </c>
      <c r="I9" s="350">
        <f t="shared" si="0"/>
        <v>7</v>
      </c>
      <c r="J9" s="350">
        <f t="shared" si="0"/>
        <v>8</v>
      </c>
      <c r="K9" s="350">
        <f t="shared" si="0"/>
        <v>9</v>
      </c>
      <c r="L9" s="350">
        <f t="shared" si="0"/>
        <v>10</v>
      </c>
      <c r="M9" s="350">
        <f t="shared" si="0"/>
        <v>11</v>
      </c>
      <c r="N9" s="164" t="s">
        <v>10</v>
      </c>
      <c r="O9" s="350">
        <f>M9+1</f>
        <v>12</v>
      </c>
      <c r="P9" s="350">
        <f t="shared" si="0"/>
        <v>13</v>
      </c>
      <c r="Q9" s="350">
        <f t="shared" si="0"/>
        <v>14</v>
      </c>
      <c r="R9" s="350">
        <f t="shared" si="0"/>
        <v>15</v>
      </c>
      <c r="S9" s="350">
        <f t="shared" si="0"/>
        <v>16</v>
      </c>
      <c r="T9" s="350">
        <f t="shared" si="0"/>
        <v>17</v>
      </c>
      <c r="U9" s="350">
        <f t="shared" si="0"/>
        <v>18</v>
      </c>
      <c r="V9" s="350">
        <f t="shared" si="0"/>
        <v>19</v>
      </c>
      <c r="W9" s="350">
        <f t="shared" si="0"/>
        <v>20</v>
      </c>
      <c r="X9" s="164" t="s">
        <v>372</v>
      </c>
      <c r="Y9" s="363"/>
      <c r="Z9" s="356">
        <f>D10-'Biểu 54'!CS14</f>
        <v>0</v>
      </c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</row>
    <row r="10" spans="1:38" s="369" customFormat="1" ht="19.5" customHeight="1">
      <c r="A10" s="365"/>
      <c r="B10" s="366" t="s">
        <v>29</v>
      </c>
      <c r="C10" s="351">
        <f>C11+C38+C39+C45</f>
        <v>502709000000</v>
      </c>
      <c r="D10" s="351">
        <f>D11+D39+D45</f>
        <v>549792704957</v>
      </c>
      <c r="E10" s="351">
        <f>E11+E39+E45</f>
        <v>362291708999</v>
      </c>
      <c r="F10" s="351">
        <f aca="true" t="shared" si="1" ref="F10:W10">F11+F39+F45</f>
        <v>492763031</v>
      </c>
      <c r="G10" s="351">
        <f t="shared" si="1"/>
        <v>4549905000</v>
      </c>
      <c r="H10" s="351">
        <f t="shared" si="1"/>
        <v>2908780000</v>
      </c>
      <c r="I10" s="351">
        <f t="shared" si="1"/>
        <v>1509881240</v>
      </c>
      <c r="J10" s="351">
        <f t="shared" si="1"/>
        <v>2744001000</v>
      </c>
      <c r="K10" s="351">
        <f t="shared" si="1"/>
        <v>2403975000</v>
      </c>
      <c r="L10" s="351">
        <f t="shared" si="1"/>
        <v>1309351000</v>
      </c>
      <c r="M10" s="351">
        <f t="shared" si="1"/>
        <v>3109500000</v>
      </c>
      <c r="N10" s="366" t="s">
        <v>29</v>
      </c>
      <c r="O10" s="351">
        <f t="shared" si="1"/>
        <v>77728440377</v>
      </c>
      <c r="P10" s="351">
        <f t="shared" si="1"/>
        <v>32130401755</v>
      </c>
      <c r="Q10" s="351">
        <f t="shared" si="1"/>
        <v>37757079625</v>
      </c>
      <c r="R10" s="351">
        <f t="shared" si="1"/>
        <v>7840958997</v>
      </c>
      <c r="S10" s="351">
        <f t="shared" si="1"/>
        <v>30504834304</v>
      </c>
      <c r="T10" s="351">
        <f t="shared" si="1"/>
        <v>27239283038</v>
      </c>
      <c r="U10" s="351">
        <f t="shared" si="1"/>
        <v>423887180</v>
      </c>
      <c r="V10" s="351">
        <f>V11+V39+V45</f>
        <v>27126880928</v>
      </c>
      <c r="W10" s="351">
        <f t="shared" si="1"/>
        <v>5449513860</v>
      </c>
      <c r="X10" s="367">
        <f>D10/C10</f>
        <v>1.0936599602493688</v>
      </c>
      <c r="Y10" s="368"/>
      <c r="Z10" s="356">
        <f>V10-'Biểu 54'!CS104</f>
        <v>0</v>
      </c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</row>
    <row r="11" spans="1:38" s="369" customFormat="1" ht="18" customHeight="1">
      <c r="A11" s="365" t="s">
        <v>18</v>
      </c>
      <c r="B11" s="366" t="s">
        <v>27</v>
      </c>
      <c r="C11" s="139">
        <f>SUM(C12:C37)</f>
        <v>479265000000</v>
      </c>
      <c r="D11" s="139">
        <f>SUM(D12:D37)</f>
        <v>537248664968</v>
      </c>
      <c r="E11" s="139">
        <f aca="true" t="shared" si="2" ref="E11:W11">SUM(E12:E37)</f>
        <v>361254404399</v>
      </c>
      <c r="F11" s="139">
        <f t="shared" si="2"/>
        <v>492763031</v>
      </c>
      <c r="G11" s="139">
        <f t="shared" si="2"/>
        <v>4549905000</v>
      </c>
      <c r="H11" s="139">
        <f t="shared" si="2"/>
        <v>2393780000</v>
      </c>
      <c r="I11" s="139">
        <f t="shared" si="2"/>
        <v>1509881240</v>
      </c>
      <c r="J11" s="139">
        <f t="shared" si="2"/>
        <v>2668001000</v>
      </c>
      <c r="K11" s="139">
        <f t="shared" si="2"/>
        <v>2400975000</v>
      </c>
      <c r="L11" s="139">
        <f t="shared" si="2"/>
        <v>1309351000</v>
      </c>
      <c r="M11" s="139">
        <f t="shared" si="2"/>
        <v>3109500000</v>
      </c>
      <c r="N11" s="366" t="s">
        <v>27</v>
      </c>
      <c r="O11" s="139">
        <f t="shared" si="2"/>
        <v>72957803377</v>
      </c>
      <c r="P11" s="139">
        <f t="shared" si="2"/>
        <v>30968438755</v>
      </c>
      <c r="Q11" s="139">
        <f t="shared" si="2"/>
        <v>34668405625</v>
      </c>
      <c r="R11" s="139">
        <f t="shared" si="2"/>
        <v>7320958997</v>
      </c>
      <c r="S11" s="139">
        <f t="shared" si="2"/>
        <v>30320834304</v>
      </c>
      <c r="T11" s="139">
        <f t="shared" si="2"/>
        <v>27154283038</v>
      </c>
      <c r="U11" s="139">
        <f t="shared" si="2"/>
        <v>423887180</v>
      </c>
      <c r="V11" s="139">
        <f>SUM(V12:V37)</f>
        <v>26703296399</v>
      </c>
      <c r="W11" s="139">
        <f t="shared" si="2"/>
        <v>0</v>
      </c>
      <c r="X11" s="370">
        <f aca="true" t="shared" si="3" ref="X11:X51">D11/C11</f>
        <v>1.1209845596235903</v>
      </c>
      <c r="Y11" s="371"/>
      <c r="Z11" s="356">
        <f>'Biểu 54'!CS98-W10</f>
        <v>0</v>
      </c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</row>
    <row r="12" spans="1:38" s="369" customFormat="1" ht="18" customHeight="1">
      <c r="A12" s="372">
        <v>1</v>
      </c>
      <c r="B12" s="373" t="s">
        <v>249</v>
      </c>
      <c r="C12" s="139">
        <v>5259000000</v>
      </c>
      <c r="D12" s="374">
        <f aca="true" t="shared" si="4" ref="D12:D36">SUM(E12:O12,S12:W12)</f>
        <v>7494133021</v>
      </c>
      <c r="E12" s="352">
        <v>90703700</v>
      </c>
      <c r="F12" s="352"/>
      <c r="G12" s="352"/>
      <c r="H12" s="352"/>
      <c r="I12" s="352"/>
      <c r="J12" s="352"/>
      <c r="K12" s="352"/>
      <c r="L12" s="352"/>
      <c r="M12" s="352"/>
      <c r="N12" s="373" t="s">
        <v>249</v>
      </c>
      <c r="O12" s="352">
        <f aca="true" t="shared" si="5" ref="O12:O37">P12+Q12+R12</f>
        <v>699576000</v>
      </c>
      <c r="P12" s="352"/>
      <c r="Q12" s="352"/>
      <c r="R12" s="352">
        <v>699576000</v>
      </c>
      <c r="S12" s="280">
        <f>6538373321+165480000</f>
        <v>6703853321</v>
      </c>
      <c r="T12" s="352"/>
      <c r="U12" s="352"/>
      <c r="V12" s="352"/>
      <c r="W12" s="352"/>
      <c r="X12" s="375">
        <f t="shared" si="3"/>
        <v>1.4250110327058376</v>
      </c>
      <c r="Y12" s="371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</row>
    <row r="13" spans="1:38" s="369" customFormat="1" ht="18" customHeight="1">
      <c r="A13" s="372">
        <f>A12+1</f>
        <v>2</v>
      </c>
      <c r="B13" s="373" t="s">
        <v>252</v>
      </c>
      <c r="C13" s="139">
        <v>5782000000</v>
      </c>
      <c r="D13" s="374">
        <f>SUM(E13:O13,S13:W13)</f>
        <v>6779604828</v>
      </c>
      <c r="E13" s="352">
        <v>20000000</v>
      </c>
      <c r="F13" s="352"/>
      <c r="G13" s="352"/>
      <c r="H13" s="352"/>
      <c r="I13" s="352">
        <v>200000000</v>
      </c>
      <c r="J13" s="352"/>
      <c r="K13" s="352"/>
      <c r="L13" s="352"/>
      <c r="M13" s="352"/>
      <c r="N13" s="373" t="s">
        <v>252</v>
      </c>
      <c r="O13" s="352">
        <f t="shared" si="5"/>
        <v>0</v>
      </c>
      <c r="P13" s="352"/>
      <c r="Q13" s="352"/>
      <c r="R13" s="352">
        <v>0</v>
      </c>
      <c r="S13" s="280">
        <v>6559604828</v>
      </c>
      <c r="T13" s="352"/>
      <c r="U13" s="352"/>
      <c r="V13" s="352"/>
      <c r="W13" s="352"/>
      <c r="X13" s="375">
        <f t="shared" si="3"/>
        <v>1.1725362898650986</v>
      </c>
      <c r="Y13" s="371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</row>
    <row r="14" spans="1:38" s="369" customFormat="1" ht="18" customHeight="1">
      <c r="A14" s="372">
        <f>A13+1</f>
        <v>3</v>
      </c>
      <c r="B14" s="373" t="s">
        <v>552</v>
      </c>
      <c r="C14" s="139">
        <v>3424000000</v>
      </c>
      <c r="D14" s="374">
        <f t="shared" si="4"/>
        <v>3826001900</v>
      </c>
      <c r="E14" s="352">
        <v>62495700</v>
      </c>
      <c r="F14" s="352"/>
      <c r="G14" s="352"/>
      <c r="H14" s="352"/>
      <c r="I14" s="352"/>
      <c r="J14" s="352"/>
      <c r="K14" s="352"/>
      <c r="L14" s="352"/>
      <c r="M14" s="352"/>
      <c r="N14" s="373" t="s">
        <v>552</v>
      </c>
      <c r="O14" s="352">
        <f t="shared" si="5"/>
        <v>0</v>
      </c>
      <c r="P14" s="352"/>
      <c r="Q14" s="352"/>
      <c r="R14" s="352">
        <v>0</v>
      </c>
      <c r="S14" s="352">
        <f>3667751200+95755000</f>
        <v>3763506200</v>
      </c>
      <c r="T14" s="352"/>
      <c r="U14" s="352"/>
      <c r="V14" s="352"/>
      <c r="W14" s="352"/>
      <c r="X14" s="375">
        <f t="shared" si="3"/>
        <v>1.1174070969626169</v>
      </c>
      <c r="Y14" s="371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</row>
    <row r="15" spans="1:38" s="369" customFormat="1" ht="18" customHeight="1">
      <c r="A15" s="372">
        <f aca="true" t="shared" si="6" ref="A15:A37">A14+1</f>
        <v>4</v>
      </c>
      <c r="B15" s="373" t="s">
        <v>254</v>
      </c>
      <c r="C15" s="139">
        <v>10427000000</v>
      </c>
      <c r="D15" s="374">
        <f t="shared" si="4"/>
        <v>9118681118</v>
      </c>
      <c r="E15" s="352">
        <v>26646200</v>
      </c>
      <c r="F15" s="352"/>
      <c r="G15" s="352"/>
      <c r="H15" s="352"/>
      <c r="I15" s="352"/>
      <c r="J15" s="352"/>
      <c r="K15" s="352"/>
      <c r="L15" s="352"/>
      <c r="M15" s="352"/>
      <c r="N15" s="373" t="s">
        <v>254</v>
      </c>
      <c r="O15" s="352">
        <f t="shared" si="5"/>
        <v>7936849918</v>
      </c>
      <c r="P15" s="352"/>
      <c r="Q15" s="352">
        <v>7843151918</v>
      </c>
      <c r="R15" s="352">
        <v>93698000</v>
      </c>
      <c r="S15" s="352">
        <v>1155185000</v>
      </c>
      <c r="T15" s="352"/>
      <c r="U15" s="352"/>
      <c r="V15" s="352"/>
      <c r="W15" s="352"/>
      <c r="X15" s="375">
        <f t="shared" si="3"/>
        <v>0.8745258576771843</v>
      </c>
      <c r="Y15" s="371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</row>
    <row r="16" spans="1:38" s="369" customFormat="1" ht="18" customHeight="1">
      <c r="A16" s="372">
        <f t="shared" si="6"/>
        <v>5</v>
      </c>
      <c r="B16" s="373" t="s">
        <v>553</v>
      </c>
      <c r="C16" s="139">
        <v>1402000000</v>
      </c>
      <c r="D16" s="374">
        <f t="shared" si="4"/>
        <v>1841341288</v>
      </c>
      <c r="E16" s="352">
        <v>61102000</v>
      </c>
      <c r="F16" s="352"/>
      <c r="G16" s="352"/>
      <c r="H16" s="352"/>
      <c r="I16" s="352"/>
      <c r="J16" s="352"/>
      <c r="K16" s="352"/>
      <c r="L16" s="352"/>
      <c r="M16" s="352"/>
      <c r="N16" s="373" t="s">
        <v>553</v>
      </c>
      <c r="O16" s="352">
        <f t="shared" si="5"/>
        <v>0</v>
      </c>
      <c r="P16" s="352"/>
      <c r="Q16" s="352"/>
      <c r="R16" s="352">
        <v>0</v>
      </c>
      <c r="S16" s="352">
        <v>1780239288</v>
      </c>
      <c r="T16" s="352"/>
      <c r="U16" s="352"/>
      <c r="V16" s="352"/>
      <c r="W16" s="352"/>
      <c r="X16" s="375">
        <f t="shared" si="3"/>
        <v>1.3133675378031384</v>
      </c>
      <c r="Y16" s="371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</row>
    <row r="17" spans="1:38" s="369" customFormat="1" ht="18" customHeight="1">
      <c r="A17" s="372">
        <f t="shared" si="6"/>
        <v>6</v>
      </c>
      <c r="B17" s="373" t="s">
        <v>256</v>
      </c>
      <c r="C17" s="139">
        <v>4110600000.0000005</v>
      </c>
      <c r="D17" s="374">
        <f t="shared" si="4"/>
        <v>4806843905</v>
      </c>
      <c r="E17" s="352"/>
      <c r="F17" s="352"/>
      <c r="G17" s="352"/>
      <c r="H17" s="352"/>
      <c r="I17" s="352"/>
      <c r="J17" s="352"/>
      <c r="K17" s="352"/>
      <c r="L17" s="352"/>
      <c r="M17" s="352">
        <v>2520500000</v>
      </c>
      <c r="N17" s="373" t="s">
        <v>256</v>
      </c>
      <c r="O17" s="352">
        <f t="shared" si="5"/>
        <v>875389538</v>
      </c>
      <c r="P17" s="352"/>
      <c r="Q17" s="352"/>
      <c r="R17" s="352">
        <v>875389538</v>
      </c>
      <c r="S17" s="352">
        <v>760954367</v>
      </c>
      <c r="T17" s="352"/>
      <c r="U17" s="352"/>
      <c r="V17" s="352">
        <f>650000000</f>
        <v>650000000</v>
      </c>
      <c r="W17" s="352"/>
      <c r="X17" s="375">
        <f t="shared" si="3"/>
        <v>1.1693776833065732</v>
      </c>
      <c r="Y17" s="371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</row>
    <row r="18" spans="1:38" s="369" customFormat="1" ht="18" customHeight="1">
      <c r="A18" s="372">
        <f t="shared" si="6"/>
        <v>7</v>
      </c>
      <c r="B18" s="373" t="s">
        <v>171</v>
      </c>
      <c r="C18" s="139">
        <v>706000000</v>
      </c>
      <c r="D18" s="374">
        <f t="shared" si="4"/>
        <v>901881656</v>
      </c>
      <c r="E18" s="352">
        <v>5312656</v>
      </c>
      <c r="F18" s="352"/>
      <c r="G18" s="352"/>
      <c r="H18" s="352"/>
      <c r="I18" s="352"/>
      <c r="J18" s="352"/>
      <c r="K18" s="352"/>
      <c r="L18" s="352"/>
      <c r="M18" s="352"/>
      <c r="N18" s="373" t="s">
        <v>171</v>
      </c>
      <c r="O18" s="352">
        <f t="shared" si="5"/>
        <v>0</v>
      </c>
      <c r="P18" s="352"/>
      <c r="Q18" s="352"/>
      <c r="R18" s="352">
        <v>0</v>
      </c>
      <c r="S18" s="352">
        <v>896569000</v>
      </c>
      <c r="T18" s="352"/>
      <c r="U18" s="352"/>
      <c r="V18" s="352"/>
      <c r="W18" s="352"/>
      <c r="X18" s="375">
        <f t="shared" si="3"/>
        <v>1.2774527705382437</v>
      </c>
      <c r="Y18" s="371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</row>
    <row r="19" spans="1:38" s="369" customFormat="1" ht="18" customHeight="1">
      <c r="A19" s="372">
        <f t="shared" si="6"/>
        <v>8</v>
      </c>
      <c r="B19" s="373" t="s">
        <v>257</v>
      </c>
      <c r="C19" s="139">
        <v>499000000</v>
      </c>
      <c r="D19" s="374">
        <f t="shared" si="4"/>
        <v>528403330</v>
      </c>
      <c r="E19" s="352">
        <v>6403330</v>
      </c>
      <c r="F19" s="352"/>
      <c r="G19" s="352"/>
      <c r="H19" s="352"/>
      <c r="I19" s="352"/>
      <c r="J19" s="352"/>
      <c r="K19" s="352"/>
      <c r="L19" s="352"/>
      <c r="M19" s="352"/>
      <c r="N19" s="373" t="s">
        <v>257</v>
      </c>
      <c r="O19" s="352">
        <f t="shared" si="5"/>
        <v>0</v>
      </c>
      <c r="P19" s="352"/>
      <c r="Q19" s="352"/>
      <c r="R19" s="352">
        <v>0</v>
      </c>
      <c r="S19" s="352">
        <v>522000000</v>
      </c>
      <c r="T19" s="352"/>
      <c r="U19" s="352"/>
      <c r="V19" s="352"/>
      <c r="W19" s="352"/>
      <c r="X19" s="375">
        <f t="shared" si="3"/>
        <v>1.0589245090180361</v>
      </c>
      <c r="Y19" s="371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</row>
    <row r="20" spans="1:38" s="369" customFormat="1" ht="18" customHeight="1">
      <c r="A20" s="372">
        <f t="shared" si="6"/>
        <v>9</v>
      </c>
      <c r="B20" s="373" t="s">
        <v>554</v>
      </c>
      <c r="C20" s="139">
        <v>7055440000.000001</v>
      </c>
      <c r="D20" s="374">
        <f t="shared" si="4"/>
        <v>12002988153</v>
      </c>
      <c r="E20" s="352">
        <v>1953000</v>
      </c>
      <c r="F20" s="352"/>
      <c r="G20" s="352"/>
      <c r="H20" s="352"/>
      <c r="I20" s="352"/>
      <c r="J20" s="352"/>
      <c r="K20" s="352"/>
      <c r="L20" s="352"/>
      <c r="M20" s="352">
        <v>589000000</v>
      </c>
      <c r="N20" s="373" t="s">
        <v>554</v>
      </c>
      <c r="O20" s="352">
        <f t="shared" si="5"/>
        <v>10198125153</v>
      </c>
      <c r="P20" s="352">
        <v>9222434755</v>
      </c>
      <c r="Q20" s="352"/>
      <c r="R20" s="352">
        <v>975690398</v>
      </c>
      <c r="S20" s="352">
        <v>1213910000</v>
      </c>
      <c r="T20" s="352"/>
      <c r="U20" s="352"/>
      <c r="V20" s="352"/>
      <c r="W20" s="352"/>
      <c r="X20" s="375">
        <f t="shared" si="3"/>
        <v>1.7012387821312347</v>
      </c>
      <c r="Y20" s="371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</row>
    <row r="21" spans="1:38" s="369" customFormat="1" ht="18" customHeight="1">
      <c r="A21" s="372">
        <f t="shared" si="6"/>
        <v>10</v>
      </c>
      <c r="B21" s="373" t="s">
        <v>259</v>
      </c>
      <c r="C21" s="139">
        <v>239000000</v>
      </c>
      <c r="D21" s="374">
        <f>SUM(E21:O21,S21:W21)</f>
        <v>255678300</v>
      </c>
      <c r="E21" s="352"/>
      <c r="F21" s="352"/>
      <c r="G21" s="352"/>
      <c r="H21" s="352"/>
      <c r="I21" s="352"/>
      <c r="J21" s="352"/>
      <c r="K21" s="352"/>
      <c r="L21" s="352"/>
      <c r="M21" s="352"/>
      <c r="N21" s="373" t="s">
        <v>259</v>
      </c>
      <c r="O21" s="352">
        <f t="shared" si="5"/>
        <v>0</v>
      </c>
      <c r="P21" s="352"/>
      <c r="Q21" s="352"/>
      <c r="R21" s="352">
        <v>0</v>
      </c>
      <c r="S21" s="352">
        <v>255678300</v>
      </c>
      <c r="T21" s="352"/>
      <c r="U21" s="352"/>
      <c r="V21" s="352"/>
      <c r="W21" s="352"/>
      <c r="X21" s="375">
        <f t="shared" si="3"/>
        <v>1.0697836820083682</v>
      </c>
      <c r="Y21" s="371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</row>
    <row r="22" spans="1:38" s="369" customFormat="1" ht="18" customHeight="1">
      <c r="A22" s="372">
        <f t="shared" si="6"/>
        <v>11</v>
      </c>
      <c r="B22" s="373" t="s">
        <v>260</v>
      </c>
      <c r="C22" s="139">
        <v>1875000000</v>
      </c>
      <c r="D22" s="374">
        <f t="shared" si="4"/>
        <v>2041284000</v>
      </c>
      <c r="E22" s="352">
        <v>1953000</v>
      </c>
      <c r="F22" s="352"/>
      <c r="G22" s="352"/>
      <c r="H22" s="352"/>
      <c r="I22" s="352"/>
      <c r="J22" s="352"/>
      <c r="K22" s="352"/>
      <c r="L22" s="352"/>
      <c r="M22" s="352"/>
      <c r="N22" s="373" t="s">
        <v>260</v>
      </c>
      <c r="O22" s="352">
        <f t="shared" si="5"/>
        <v>0</v>
      </c>
      <c r="P22" s="352"/>
      <c r="Q22" s="352"/>
      <c r="R22" s="352">
        <v>0</v>
      </c>
      <c r="S22" s="352">
        <v>2039331000</v>
      </c>
      <c r="T22" s="352"/>
      <c r="U22" s="352"/>
      <c r="V22" s="352"/>
      <c r="W22" s="352"/>
      <c r="X22" s="375">
        <f t="shared" si="3"/>
        <v>1.0886848</v>
      </c>
      <c r="Y22" s="371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</row>
    <row r="23" spans="1:38" s="369" customFormat="1" ht="18" customHeight="1">
      <c r="A23" s="372">
        <f t="shared" si="6"/>
        <v>12</v>
      </c>
      <c r="B23" s="373" t="s">
        <v>261</v>
      </c>
      <c r="C23" s="139">
        <v>18579000000</v>
      </c>
      <c r="D23" s="374">
        <f>SUM(E23:O23,S23:W23)</f>
        <v>18472258201</v>
      </c>
      <c r="E23" s="352">
        <v>332845100</v>
      </c>
      <c r="F23" s="352"/>
      <c r="G23" s="352"/>
      <c r="H23" s="352"/>
      <c r="I23" s="352">
        <v>1309881240</v>
      </c>
      <c r="J23" s="352"/>
      <c r="K23" s="352"/>
      <c r="L23" s="352"/>
      <c r="M23" s="352"/>
      <c r="N23" s="373" t="s">
        <v>261</v>
      </c>
      <c r="O23" s="352">
        <f t="shared" si="5"/>
        <v>0</v>
      </c>
      <c r="P23" s="352"/>
      <c r="Q23" s="352"/>
      <c r="R23" s="352">
        <v>0</v>
      </c>
      <c r="S23" s="352">
        <v>920950000</v>
      </c>
      <c r="T23" s="352">
        <v>15813786861</v>
      </c>
      <c r="U23" s="352"/>
      <c r="V23" s="352">
        <f>94795000</f>
        <v>94795000</v>
      </c>
      <c r="W23" s="352"/>
      <c r="X23" s="375">
        <f t="shared" si="3"/>
        <v>0.994254706981</v>
      </c>
      <c r="Y23" s="371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</row>
    <row r="24" spans="1:38" s="369" customFormat="1" ht="18" customHeight="1">
      <c r="A24" s="372">
        <f t="shared" si="6"/>
        <v>13</v>
      </c>
      <c r="B24" s="373" t="s">
        <v>262</v>
      </c>
      <c r="C24" s="139">
        <v>5429487000</v>
      </c>
      <c r="D24" s="374">
        <f t="shared" si="4"/>
        <v>4801201058</v>
      </c>
      <c r="E24" s="352">
        <v>23987800</v>
      </c>
      <c r="F24" s="352"/>
      <c r="G24" s="352"/>
      <c r="H24" s="352"/>
      <c r="I24" s="352"/>
      <c r="J24" s="352"/>
      <c r="K24" s="352"/>
      <c r="L24" s="352"/>
      <c r="M24" s="352"/>
      <c r="N24" s="373" t="s">
        <v>262</v>
      </c>
      <c r="O24" s="352">
        <f t="shared" si="5"/>
        <v>166478000</v>
      </c>
      <c r="P24" s="352">
        <v>166478000</v>
      </c>
      <c r="Q24" s="352"/>
      <c r="R24" s="352">
        <v>0</v>
      </c>
      <c r="S24" s="352">
        <v>575992000</v>
      </c>
      <c r="T24" s="352">
        <v>4034743258</v>
      </c>
      <c r="U24" s="352"/>
      <c r="V24" s="352"/>
      <c r="W24" s="352"/>
      <c r="X24" s="375">
        <f t="shared" si="3"/>
        <v>0.8842826325949394</v>
      </c>
      <c r="Y24" s="371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</row>
    <row r="25" spans="1:38" s="369" customFormat="1" ht="18" customHeight="1">
      <c r="A25" s="372">
        <f t="shared" si="6"/>
        <v>14</v>
      </c>
      <c r="B25" s="373" t="s">
        <v>555</v>
      </c>
      <c r="C25" s="139">
        <v>345821000000</v>
      </c>
      <c r="D25" s="374">
        <f t="shared" si="4"/>
        <v>357579111313</v>
      </c>
      <c r="E25" s="352">
        <f>356504396313+12805000</f>
        <v>356517201313</v>
      </c>
      <c r="F25" s="352"/>
      <c r="G25" s="352"/>
      <c r="H25" s="352"/>
      <c r="I25" s="352"/>
      <c r="J25" s="352"/>
      <c r="K25" s="352"/>
      <c r="L25" s="352"/>
      <c r="M25" s="352"/>
      <c r="N25" s="373" t="s">
        <v>555</v>
      </c>
      <c r="O25" s="352">
        <f t="shared" si="5"/>
        <v>0</v>
      </c>
      <c r="P25" s="352"/>
      <c r="Q25" s="352"/>
      <c r="R25" s="352">
        <v>0</v>
      </c>
      <c r="S25" s="352">
        <f>950000000+62000000</f>
        <v>1012000000</v>
      </c>
      <c r="T25" s="352"/>
      <c r="U25" s="352"/>
      <c r="V25" s="352">
        <v>49910000</v>
      </c>
      <c r="W25" s="352"/>
      <c r="X25" s="375">
        <f t="shared" si="3"/>
        <v>1.0340005705639623</v>
      </c>
      <c r="Y25" s="371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</row>
    <row r="26" spans="1:38" s="369" customFormat="1" ht="18" customHeight="1">
      <c r="A26" s="372">
        <f t="shared" si="6"/>
        <v>15</v>
      </c>
      <c r="B26" s="373" t="s">
        <v>556</v>
      </c>
      <c r="C26" s="139">
        <v>755000000</v>
      </c>
      <c r="D26" s="374">
        <f t="shared" si="4"/>
        <v>1228322300</v>
      </c>
      <c r="E26" s="352">
        <v>1228322300</v>
      </c>
      <c r="F26" s="352"/>
      <c r="G26" s="352"/>
      <c r="H26" s="352"/>
      <c r="I26" s="352"/>
      <c r="J26" s="352"/>
      <c r="K26" s="352"/>
      <c r="L26" s="352"/>
      <c r="M26" s="352"/>
      <c r="N26" s="373" t="s">
        <v>556</v>
      </c>
      <c r="O26" s="352">
        <f t="shared" si="5"/>
        <v>0</v>
      </c>
      <c r="P26" s="352"/>
      <c r="Q26" s="352"/>
      <c r="R26" s="352">
        <v>0</v>
      </c>
      <c r="S26" s="352"/>
      <c r="T26" s="352"/>
      <c r="U26" s="352"/>
      <c r="V26" s="352"/>
      <c r="W26" s="352"/>
      <c r="X26" s="375">
        <f t="shared" si="3"/>
        <v>1.6269169536423842</v>
      </c>
      <c r="Y26" s="371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</row>
    <row r="27" spans="1:38" s="369" customFormat="1" ht="18" customHeight="1">
      <c r="A27" s="372">
        <f t="shared" si="6"/>
        <v>16</v>
      </c>
      <c r="B27" s="373" t="s">
        <v>557</v>
      </c>
      <c r="C27" s="139">
        <v>531000000</v>
      </c>
      <c r="D27" s="374">
        <f t="shared" si="4"/>
        <v>767643300</v>
      </c>
      <c r="E27" s="352">
        <v>9198300</v>
      </c>
      <c r="F27" s="352"/>
      <c r="G27" s="352"/>
      <c r="H27" s="352"/>
      <c r="I27" s="352"/>
      <c r="J27" s="352"/>
      <c r="K27" s="352"/>
      <c r="L27" s="352"/>
      <c r="M27" s="352"/>
      <c r="N27" s="373" t="s">
        <v>557</v>
      </c>
      <c r="O27" s="352">
        <f t="shared" si="5"/>
        <v>758445000</v>
      </c>
      <c r="P27" s="352"/>
      <c r="Q27" s="352"/>
      <c r="R27" s="352">
        <v>758445000</v>
      </c>
      <c r="S27" s="352"/>
      <c r="T27" s="352"/>
      <c r="U27" s="352"/>
      <c r="V27" s="352"/>
      <c r="W27" s="352"/>
      <c r="X27" s="375">
        <f t="shared" si="3"/>
        <v>1.4456559322033897</v>
      </c>
      <c r="Y27" s="371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</row>
    <row r="28" spans="1:38" s="369" customFormat="1" ht="18" customHeight="1">
      <c r="A28" s="372">
        <f t="shared" si="6"/>
        <v>17</v>
      </c>
      <c r="B28" s="373" t="s">
        <v>266</v>
      </c>
      <c r="C28" s="139">
        <v>1563000000</v>
      </c>
      <c r="D28" s="374">
        <f t="shared" si="4"/>
        <v>1685402495</v>
      </c>
      <c r="E28" s="352"/>
      <c r="F28" s="352">
        <v>492763031</v>
      </c>
      <c r="G28" s="352"/>
      <c r="H28" s="352"/>
      <c r="I28" s="352"/>
      <c r="J28" s="352"/>
      <c r="K28" s="352"/>
      <c r="L28" s="352"/>
      <c r="M28" s="352"/>
      <c r="N28" s="373" t="s">
        <v>266</v>
      </c>
      <c r="O28" s="352">
        <f t="shared" si="5"/>
        <v>1192639461</v>
      </c>
      <c r="P28" s="352"/>
      <c r="Q28" s="352">
        <v>92186007</v>
      </c>
      <c r="R28" s="352">
        <v>1100453454</v>
      </c>
      <c r="S28" s="352"/>
      <c r="T28" s="352"/>
      <c r="U28" s="352"/>
      <c r="V28" s="352">
        <v>3</v>
      </c>
      <c r="W28" s="352"/>
      <c r="X28" s="375">
        <f t="shared" si="3"/>
        <v>1.0783125367882278</v>
      </c>
      <c r="Y28" s="371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</row>
    <row r="29" spans="1:38" s="369" customFormat="1" ht="18" customHeight="1">
      <c r="A29" s="372">
        <f t="shared" si="6"/>
        <v>18</v>
      </c>
      <c r="B29" s="373" t="s">
        <v>267</v>
      </c>
      <c r="C29" s="139">
        <v>249316000</v>
      </c>
      <c r="D29" s="374">
        <f t="shared" si="4"/>
        <v>210460607</v>
      </c>
      <c r="E29" s="352"/>
      <c r="F29" s="352"/>
      <c r="G29" s="352"/>
      <c r="H29" s="352"/>
      <c r="I29" s="352"/>
      <c r="J29" s="352"/>
      <c r="K29" s="352"/>
      <c r="L29" s="352"/>
      <c r="M29" s="352"/>
      <c r="N29" s="373" t="s">
        <v>267</v>
      </c>
      <c r="O29" s="352">
        <f>P29+Q29+R29</f>
        <v>210460607</v>
      </c>
      <c r="P29" s="352"/>
      <c r="Q29" s="352"/>
      <c r="R29" s="352">
        <v>210460607</v>
      </c>
      <c r="S29" s="352"/>
      <c r="T29" s="352"/>
      <c r="U29" s="352"/>
      <c r="V29" s="352"/>
      <c r="W29" s="352"/>
      <c r="X29" s="375">
        <f t="shared" si="3"/>
        <v>0.844152027948467</v>
      </c>
      <c r="Y29" s="371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</row>
    <row r="30" spans="1:38" s="369" customFormat="1" ht="18" customHeight="1">
      <c r="A30" s="372">
        <f t="shared" si="6"/>
        <v>19</v>
      </c>
      <c r="B30" s="373" t="s">
        <v>265</v>
      </c>
      <c r="C30" s="139">
        <v>243000000</v>
      </c>
      <c r="D30" s="374">
        <f t="shared" si="4"/>
        <v>1164901000</v>
      </c>
      <c r="E30" s="352"/>
      <c r="F30" s="352"/>
      <c r="G30" s="352"/>
      <c r="H30" s="352"/>
      <c r="I30" s="352"/>
      <c r="J30" s="352"/>
      <c r="K30" s="352"/>
      <c r="L30" s="352"/>
      <c r="M30" s="352"/>
      <c r="N30" s="373" t="s">
        <v>265</v>
      </c>
      <c r="O30" s="352">
        <f t="shared" si="5"/>
        <v>1164901000</v>
      </c>
      <c r="P30" s="352"/>
      <c r="Q30" s="352"/>
      <c r="R30" s="352">
        <v>1164901000</v>
      </c>
      <c r="S30" s="352"/>
      <c r="T30" s="352"/>
      <c r="U30" s="352"/>
      <c r="V30" s="352"/>
      <c r="W30" s="352"/>
      <c r="X30" s="375">
        <f t="shared" si="3"/>
        <v>4.793831275720165</v>
      </c>
      <c r="Y30" s="371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</row>
    <row r="31" spans="1:38" s="369" customFormat="1" ht="18" customHeight="1">
      <c r="A31" s="372">
        <f t="shared" si="6"/>
        <v>20</v>
      </c>
      <c r="B31" s="373" t="s">
        <v>558</v>
      </c>
      <c r="C31" s="139">
        <v>2164000000</v>
      </c>
      <c r="D31" s="374">
        <f t="shared" si="4"/>
        <v>2400975000</v>
      </c>
      <c r="E31" s="352"/>
      <c r="F31" s="352"/>
      <c r="G31" s="352"/>
      <c r="H31" s="352"/>
      <c r="I31" s="352"/>
      <c r="J31" s="352"/>
      <c r="K31" s="352">
        <v>2400975000</v>
      </c>
      <c r="L31" s="352"/>
      <c r="M31" s="352"/>
      <c r="N31" s="373" t="s">
        <v>558</v>
      </c>
      <c r="O31" s="352">
        <f t="shared" si="5"/>
        <v>0</v>
      </c>
      <c r="P31" s="352"/>
      <c r="Q31" s="352"/>
      <c r="R31" s="352">
        <v>0</v>
      </c>
      <c r="S31" s="352"/>
      <c r="T31" s="352"/>
      <c r="U31" s="352"/>
      <c r="V31" s="352"/>
      <c r="W31" s="352"/>
      <c r="X31" s="375">
        <f t="shared" si="3"/>
        <v>1.1095078558225508</v>
      </c>
      <c r="Y31" s="371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</row>
    <row r="32" spans="1:38" s="369" customFormat="1" ht="18" customHeight="1">
      <c r="A32" s="372">
        <f t="shared" si="6"/>
        <v>21</v>
      </c>
      <c r="B32" s="373" t="s">
        <v>269</v>
      </c>
      <c r="C32" s="139">
        <v>2974000000</v>
      </c>
      <c r="D32" s="374">
        <f t="shared" si="4"/>
        <v>3640130000</v>
      </c>
      <c r="E32" s="352">
        <v>14598000</v>
      </c>
      <c r="F32" s="352"/>
      <c r="G32" s="352"/>
      <c r="H32" s="352"/>
      <c r="I32" s="352"/>
      <c r="J32" s="352">
        <v>1633000000</v>
      </c>
      <c r="K32" s="352"/>
      <c r="L32" s="352">
        <v>912646000</v>
      </c>
      <c r="M32" s="352"/>
      <c r="N32" s="373" t="s">
        <v>269</v>
      </c>
      <c r="O32" s="352"/>
      <c r="P32" s="352"/>
      <c r="Q32" s="352"/>
      <c r="R32" s="352">
        <v>0</v>
      </c>
      <c r="S32" s="352">
        <f>1059886000+20000000</f>
        <v>1079886000</v>
      </c>
      <c r="T32" s="352"/>
      <c r="U32" s="352"/>
      <c r="V32" s="352"/>
      <c r="W32" s="352"/>
      <c r="X32" s="375">
        <f t="shared" si="3"/>
        <v>1.2239845326160055</v>
      </c>
      <c r="Y32" s="371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</row>
    <row r="33" spans="1:38" s="369" customFormat="1" ht="18" customHeight="1">
      <c r="A33" s="372">
        <f t="shared" si="6"/>
        <v>22</v>
      </c>
      <c r="B33" s="373" t="s">
        <v>477</v>
      </c>
      <c r="C33" s="139"/>
      <c r="D33" s="374">
        <f>SUM(E33:O33,S33:W33)</f>
        <v>1108472000</v>
      </c>
      <c r="E33" s="352">
        <v>1108472000</v>
      </c>
      <c r="F33" s="352"/>
      <c r="G33" s="352"/>
      <c r="H33" s="352"/>
      <c r="I33" s="352"/>
      <c r="J33" s="352"/>
      <c r="K33" s="352"/>
      <c r="L33" s="352"/>
      <c r="M33" s="352"/>
      <c r="N33" s="373" t="s">
        <v>477</v>
      </c>
      <c r="O33" s="352"/>
      <c r="P33" s="352"/>
      <c r="Q33" s="352"/>
      <c r="R33" s="352"/>
      <c r="S33" s="352"/>
      <c r="T33" s="352"/>
      <c r="U33" s="352"/>
      <c r="V33" s="352"/>
      <c r="W33" s="352"/>
      <c r="X33" s="375"/>
      <c r="Y33" s="371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</row>
    <row r="34" spans="1:38" s="369" customFormat="1" ht="18" customHeight="1">
      <c r="A34" s="372">
        <f t="shared" si="6"/>
        <v>23</v>
      </c>
      <c r="B34" s="373" t="s">
        <v>559</v>
      </c>
      <c r="C34" s="139">
        <v>1200000000</v>
      </c>
      <c r="D34" s="374">
        <f t="shared" si="4"/>
        <v>2593780000</v>
      </c>
      <c r="E34" s="352"/>
      <c r="F34" s="352"/>
      <c r="G34" s="352"/>
      <c r="H34" s="352">
        <v>2393780000</v>
      </c>
      <c r="I34" s="352"/>
      <c r="J34" s="352"/>
      <c r="K34" s="352"/>
      <c r="L34" s="352"/>
      <c r="M34" s="352"/>
      <c r="N34" s="373" t="s">
        <v>559</v>
      </c>
      <c r="O34" s="352">
        <f t="shared" si="5"/>
        <v>0</v>
      </c>
      <c r="P34" s="352"/>
      <c r="Q34" s="352"/>
      <c r="R34" s="352">
        <v>0</v>
      </c>
      <c r="S34" s="352">
        <v>200000000</v>
      </c>
      <c r="T34" s="352"/>
      <c r="U34" s="352"/>
      <c r="V34" s="352"/>
      <c r="W34" s="352"/>
      <c r="X34" s="375">
        <f t="shared" si="3"/>
        <v>2.1614833333333334</v>
      </c>
      <c r="Y34" s="371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</row>
    <row r="35" spans="1:38" s="369" customFormat="1" ht="18" customHeight="1">
      <c r="A35" s="372">
        <f t="shared" si="6"/>
        <v>24</v>
      </c>
      <c r="B35" s="373" t="s">
        <v>560</v>
      </c>
      <c r="C35" s="139">
        <v>3650000000</v>
      </c>
      <c r="D35" s="374">
        <f t="shared" si="4"/>
        <v>4549905000</v>
      </c>
      <c r="E35" s="352"/>
      <c r="F35" s="352"/>
      <c r="G35" s="352">
        <v>4549905000</v>
      </c>
      <c r="H35" s="352"/>
      <c r="I35" s="352"/>
      <c r="J35" s="352"/>
      <c r="K35" s="352"/>
      <c r="L35" s="352"/>
      <c r="M35" s="352"/>
      <c r="N35" s="373" t="s">
        <v>560</v>
      </c>
      <c r="O35" s="352">
        <f t="shared" si="5"/>
        <v>0</v>
      </c>
      <c r="P35" s="352"/>
      <c r="Q35" s="352"/>
      <c r="R35" s="352">
        <v>0</v>
      </c>
      <c r="S35" s="352"/>
      <c r="T35" s="352"/>
      <c r="U35" s="352"/>
      <c r="V35" s="352"/>
      <c r="W35" s="352"/>
      <c r="X35" s="375">
        <f t="shared" si="3"/>
        <v>1.2465493150684932</v>
      </c>
      <c r="Y35" s="371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</row>
    <row r="36" spans="1:38" s="369" customFormat="1" ht="18" customHeight="1">
      <c r="A36" s="372">
        <f t="shared" si="6"/>
        <v>25</v>
      </c>
      <c r="B36" s="373" t="s">
        <v>548</v>
      </c>
      <c r="C36" s="139">
        <v>39245843000</v>
      </c>
      <c r="D36" s="374">
        <f t="shared" si="4"/>
        <v>55284532700</v>
      </c>
      <c r="E36" s="352">
        <f>663210000+1080000000</f>
        <v>1743210000</v>
      </c>
      <c r="F36" s="352"/>
      <c r="G36" s="352"/>
      <c r="H36" s="352"/>
      <c r="I36" s="352"/>
      <c r="J36" s="352">
        <v>1035001000</v>
      </c>
      <c r="K36" s="352"/>
      <c r="L36" s="352">
        <v>396705000</v>
      </c>
      <c r="M36" s="352"/>
      <c r="N36" s="373" t="s">
        <v>548</v>
      </c>
      <c r="O36" s="352">
        <f>P36+Q36+R36</f>
        <v>49754938700</v>
      </c>
      <c r="P36" s="352">
        <v>21579526000</v>
      </c>
      <c r="Q36" s="352">
        <v>26733067700</v>
      </c>
      <c r="R36" s="353">
        <v>1442345000</v>
      </c>
      <c r="S36" s="353">
        <v>881175000</v>
      </c>
      <c r="T36" s="352"/>
      <c r="U36" s="352"/>
      <c r="V36" s="352">
        <v>1473503000</v>
      </c>
      <c r="W36" s="352"/>
      <c r="X36" s="375">
        <f t="shared" si="3"/>
        <v>1.4086723197664528</v>
      </c>
      <c r="Y36" s="371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</row>
    <row r="37" spans="1:38" s="369" customFormat="1" ht="18" customHeight="1">
      <c r="A37" s="372">
        <f t="shared" si="6"/>
        <v>26</v>
      </c>
      <c r="B37" s="373" t="s">
        <v>592</v>
      </c>
      <c r="C37" s="278">
        <v>16081314000</v>
      </c>
      <c r="D37" s="374">
        <f>SUM(E37:O37,S37:W37)</f>
        <v>32164728495</v>
      </c>
      <c r="E37" s="353"/>
      <c r="F37" s="353"/>
      <c r="G37" s="353"/>
      <c r="H37" s="353"/>
      <c r="I37" s="353"/>
      <c r="J37" s="353"/>
      <c r="K37" s="353"/>
      <c r="L37" s="353"/>
      <c r="M37" s="353"/>
      <c r="N37" s="373" t="s">
        <v>592</v>
      </c>
      <c r="O37" s="352">
        <f t="shared" si="5"/>
        <v>0</v>
      </c>
      <c r="P37" s="353"/>
      <c r="Q37" s="353"/>
      <c r="R37" s="353"/>
      <c r="S37" s="353"/>
      <c r="T37" s="353">
        <f>7255234000+50518919</f>
        <v>7305752919</v>
      </c>
      <c r="U37" s="352">
        <f>420000000+3887180</f>
        <v>423887180</v>
      </c>
      <c r="V37" s="356">
        <f>24435088396</f>
        <v>24435088396</v>
      </c>
      <c r="W37" s="353"/>
      <c r="X37" s="375">
        <f t="shared" si="3"/>
        <v>2.000130617124944</v>
      </c>
      <c r="Y37" s="371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</row>
    <row r="38" spans="1:38" s="369" customFormat="1" ht="18" customHeight="1">
      <c r="A38" s="376" t="s">
        <v>19</v>
      </c>
      <c r="B38" s="377" t="s">
        <v>28</v>
      </c>
      <c r="C38" s="278">
        <v>9790000000</v>
      </c>
      <c r="D38" s="374"/>
      <c r="E38" s="354">
        <v>0</v>
      </c>
      <c r="F38" s="354"/>
      <c r="G38" s="354"/>
      <c r="H38" s="354"/>
      <c r="I38" s="354"/>
      <c r="J38" s="354"/>
      <c r="K38" s="354"/>
      <c r="L38" s="354"/>
      <c r="M38" s="354"/>
      <c r="N38" s="377" t="s">
        <v>28</v>
      </c>
      <c r="O38" s="374"/>
      <c r="P38" s="354"/>
      <c r="Q38" s="354"/>
      <c r="R38" s="354"/>
      <c r="S38" s="354"/>
      <c r="T38" s="354"/>
      <c r="U38" s="374"/>
      <c r="V38" s="354"/>
      <c r="W38" s="354"/>
      <c r="X38" s="370"/>
      <c r="Y38" s="368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</row>
    <row r="39" spans="1:38" s="369" customFormat="1" ht="18" customHeight="1">
      <c r="A39" s="365" t="s">
        <v>19</v>
      </c>
      <c r="B39" s="366" t="s">
        <v>561</v>
      </c>
      <c r="C39" s="139">
        <f>SUM(C40:C44)</f>
        <v>2429000000</v>
      </c>
      <c r="D39" s="139">
        <f>SUM(D40:D44)</f>
        <v>3070605929</v>
      </c>
      <c r="E39" s="139">
        <f aca="true" t="shared" si="7" ref="E39:V39">SUM(E40:E44)</f>
        <v>1022304600</v>
      </c>
      <c r="F39" s="139">
        <f t="shared" si="7"/>
        <v>0</v>
      </c>
      <c r="G39" s="139">
        <f t="shared" si="7"/>
        <v>0</v>
      </c>
      <c r="H39" s="139">
        <f t="shared" si="7"/>
        <v>0</v>
      </c>
      <c r="I39" s="139">
        <f t="shared" si="7"/>
        <v>0</v>
      </c>
      <c r="J39" s="139">
        <f t="shared" si="7"/>
        <v>76000000</v>
      </c>
      <c r="K39" s="139">
        <f t="shared" si="7"/>
        <v>0</v>
      </c>
      <c r="L39" s="139">
        <f t="shared" si="7"/>
        <v>0</v>
      </c>
      <c r="M39" s="139">
        <f t="shared" si="7"/>
        <v>0</v>
      </c>
      <c r="N39" s="366" t="s">
        <v>561</v>
      </c>
      <c r="O39" s="139">
        <f t="shared" si="7"/>
        <v>1161963000</v>
      </c>
      <c r="P39" s="139">
        <f t="shared" si="7"/>
        <v>1161963000</v>
      </c>
      <c r="Q39" s="139">
        <f t="shared" si="7"/>
        <v>0</v>
      </c>
      <c r="R39" s="139">
        <f t="shared" si="7"/>
        <v>0</v>
      </c>
      <c r="S39" s="139">
        <f t="shared" si="7"/>
        <v>184000000</v>
      </c>
      <c r="T39" s="139">
        <f t="shared" si="7"/>
        <v>0</v>
      </c>
      <c r="U39" s="139">
        <f t="shared" si="7"/>
        <v>0</v>
      </c>
      <c r="V39" s="139">
        <f t="shared" si="7"/>
        <v>44554969</v>
      </c>
      <c r="W39" s="139">
        <f>SUM(W40:W44)</f>
        <v>581783360</v>
      </c>
      <c r="X39" s="370">
        <f t="shared" si="3"/>
        <v>1.2641440629888843</v>
      </c>
      <c r="Y39" s="368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6"/>
      <c r="AK39" s="356"/>
      <c r="AL39" s="356"/>
    </row>
    <row r="40" spans="1:38" s="369" customFormat="1" ht="18" customHeight="1">
      <c r="A40" s="372">
        <v>1</v>
      </c>
      <c r="B40" s="373" t="s">
        <v>548</v>
      </c>
      <c r="C40" s="139">
        <v>1118000000</v>
      </c>
      <c r="D40" s="374">
        <f>SUM(E40:O40,S40:W40)</f>
        <v>1161963000</v>
      </c>
      <c r="E40" s="352"/>
      <c r="F40" s="352"/>
      <c r="G40" s="352"/>
      <c r="H40" s="352"/>
      <c r="I40" s="352"/>
      <c r="J40" s="352"/>
      <c r="K40" s="352"/>
      <c r="L40" s="352"/>
      <c r="M40" s="352"/>
      <c r="N40" s="373" t="s">
        <v>548</v>
      </c>
      <c r="O40" s="352">
        <f>P40+Q40+R40</f>
        <v>1161963000</v>
      </c>
      <c r="P40" s="352">
        <v>1161963000</v>
      </c>
      <c r="Q40" s="352"/>
      <c r="R40" s="352"/>
      <c r="S40" s="352"/>
      <c r="T40" s="352"/>
      <c r="U40" s="352"/>
      <c r="V40" s="352"/>
      <c r="W40" s="352"/>
      <c r="X40" s="375">
        <f t="shared" si="3"/>
        <v>1.0393228980322005</v>
      </c>
      <c r="Y40" s="371"/>
      <c r="Z40" s="356"/>
      <c r="AG40" s="356"/>
      <c r="AH40" s="356"/>
      <c r="AI40" s="356"/>
      <c r="AJ40" s="356"/>
      <c r="AK40" s="356"/>
      <c r="AL40" s="356"/>
    </row>
    <row r="41" spans="1:38" s="369" customFormat="1" ht="18" customHeight="1">
      <c r="A41" s="372">
        <v>2</v>
      </c>
      <c r="B41" s="373" t="s">
        <v>269</v>
      </c>
      <c r="C41" s="139">
        <v>76000000</v>
      </c>
      <c r="D41" s="374">
        <f>SUM(E41:O41,S41:W41)</f>
        <v>76000000</v>
      </c>
      <c r="E41" s="352"/>
      <c r="F41" s="352"/>
      <c r="G41" s="352"/>
      <c r="H41" s="352"/>
      <c r="I41" s="352"/>
      <c r="J41" s="352">
        <v>76000000</v>
      </c>
      <c r="K41" s="352"/>
      <c r="L41" s="352"/>
      <c r="M41" s="352"/>
      <c r="N41" s="373" t="s">
        <v>269</v>
      </c>
      <c r="O41" s="352">
        <f>P41+Q41+R41</f>
        <v>0</v>
      </c>
      <c r="P41" s="352"/>
      <c r="Q41" s="352"/>
      <c r="R41" s="352"/>
      <c r="S41" s="352"/>
      <c r="T41" s="352"/>
      <c r="U41" s="352"/>
      <c r="V41" s="352"/>
      <c r="W41" s="352"/>
      <c r="X41" s="375">
        <f t="shared" si="3"/>
        <v>1</v>
      </c>
      <c r="Y41" s="371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K41" s="356"/>
      <c r="AL41" s="356"/>
    </row>
    <row r="42" spans="1:38" s="369" customFormat="1" ht="18" customHeight="1">
      <c r="A42" s="372">
        <v>3</v>
      </c>
      <c r="B42" s="373" t="s">
        <v>261</v>
      </c>
      <c r="C42" s="139">
        <v>1146000000</v>
      </c>
      <c r="D42" s="374">
        <f>SUM(E42:O42,S42:W42)</f>
        <v>1117304600</v>
      </c>
      <c r="E42" s="352">
        <v>1022304600</v>
      </c>
      <c r="F42" s="352"/>
      <c r="G42" s="352"/>
      <c r="H42" s="352"/>
      <c r="I42" s="352"/>
      <c r="J42" s="352"/>
      <c r="K42" s="352"/>
      <c r="L42" s="352"/>
      <c r="M42" s="352"/>
      <c r="N42" s="373" t="s">
        <v>261</v>
      </c>
      <c r="O42" s="352">
        <f>P42+Q42+R42</f>
        <v>0</v>
      </c>
      <c r="P42" s="352"/>
      <c r="Q42" s="352"/>
      <c r="R42" s="352"/>
      <c r="S42" s="352">
        <v>95000000</v>
      </c>
      <c r="T42" s="352"/>
      <c r="U42" s="352"/>
      <c r="V42" s="352"/>
      <c r="W42" s="352"/>
      <c r="X42" s="375">
        <f t="shared" si="3"/>
        <v>0.9749603839441536</v>
      </c>
      <c r="Y42" s="371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6"/>
      <c r="AL42" s="356"/>
    </row>
    <row r="43" spans="1:38" s="369" customFormat="1" ht="18" customHeight="1">
      <c r="A43" s="372">
        <v>4</v>
      </c>
      <c r="B43" s="373" t="s">
        <v>254</v>
      </c>
      <c r="C43" s="139">
        <v>89000000</v>
      </c>
      <c r="D43" s="374">
        <f>SUM(E43:O43,S43:W43)</f>
        <v>89000000</v>
      </c>
      <c r="E43" s="352"/>
      <c r="F43" s="352"/>
      <c r="G43" s="352"/>
      <c r="H43" s="352"/>
      <c r="I43" s="352"/>
      <c r="J43" s="352"/>
      <c r="K43" s="352"/>
      <c r="L43" s="352"/>
      <c r="M43" s="352"/>
      <c r="N43" s="373" t="s">
        <v>254</v>
      </c>
      <c r="O43" s="352">
        <f>P43+Q43+R43</f>
        <v>0</v>
      </c>
      <c r="P43" s="352"/>
      <c r="Q43" s="352"/>
      <c r="R43" s="352"/>
      <c r="S43" s="352">
        <v>89000000</v>
      </c>
      <c r="T43" s="352"/>
      <c r="U43" s="352"/>
      <c r="V43" s="352"/>
      <c r="W43" s="352"/>
      <c r="X43" s="375">
        <f t="shared" si="3"/>
        <v>1</v>
      </c>
      <c r="Y43" s="371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6"/>
      <c r="AL43" s="356"/>
    </row>
    <row r="44" spans="1:38" s="369" customFormat="1" ht="18" customHeight="1">
      <c r="A44" s="378">
        <v>5</v>
      </c>
      <c r="B44" s="379" t="s">
        <v>592</v>
      </c>
      <c r="C44" s="139"/>
      <c r="D44" s="374">
        <f>SUM(E44:O44,S44:W44)</f>
        <v>626338329</v>
      </c>
      <c r="E44" s="352"/>
      <c r="F44" s="352"/>
      <c r="G44" s="352"/>
      <c r="H44" s="352"/>
      <c r="I44" s="352"/>
      <c r="J44" s="352"/>
      <c r="K44" s="352"/>
      <c r="L44" s="352"/>
      <c r="M44" s="352"/>
      <c r="N44" s="379" t="s">
        <v>592</v>
      </c>
      <c r="O44" s="352"/>
      <c r="P44" s="352"/>
      <c r="Q44" s="352"/>
      <c r="R44" s="352"/>
      <c r="S44" s="352"/>
      <c r="T44" s="352"/>
      <c r="U44" s="352"/>
      <c r="V44" s="352">
        <f>28732400+15822569</f>
        <v>44554969</v>
      </c>
      <c r="W44" s="352">
        <f>71288000+28249751+995000+12909100+468341509</f>
        <v>581783360</v>
      </c>
      <c r="X44" s="375"/>
      <c r="Y44" s="371"/>
      <c r="Z44" s="393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K44" s="356"/>
      <c r="AL44" s="356"/>
    </row>
    <row r="45" spans="1:38" s="369" customFormat="1" ht="18" customHeight="1">
      <c r="A45" s="365" t="s">
        <v>20</v>
      </c>
      <c r="B45" s="366" t="s">
        <v>562</v>
      </c>
      <c r="C45" s="139">
        <f aca="true" t="shared" si="8" ref="C45:W45">SUM(C46:C51)</f>
        <v>11225000000</v>
      </c>
      <c r="D45" s="139">
        <f t="shared" si="8"/>
        <v>9473434060</v>
      </c>
      <c r="E45" s="139">
        <f t="shared" si="8"/>
        <v>15000000</v>
      </c>
      <c r="F45" s="139">
        <f t="shared" si="8"/>
        <v>0</v>
      </c>
      <c r="G45" s="139">
        <f t="shared" si="8"/>
        <v>0</v>
      </c>
      <c r="H45" s="139">
        <f t="shared" si="8"/>
        <v>515000000</v>
      </c>
      <c r="I45" s="139">
        <f t="shared" si="8"/>
        <v>0</v>
      </c>
      <c r="J45" s="139">
        <f t="shared" si="8"/>
        <v>0</v>
      </c>
      <c r="K45" s="139">
        <f t="shared" si="8"/>
        <v>3000000</v>
      </c>
      <c r="L45" s="139">
        <f t="shared" si="8"/>
        <v>0</v>
      </c>
      <c r="M45" s="139">
        <f t="shared" si="8"/>
        <v>0</v>
      </c>
      <c r="N45" s="366" t="s">
        <v>562</v>
      </c>
      <c r="O45" s="139">
        <f t="shared" si="8"/>
        <v>3608674000</v>
      </c>
      <c r="P45" s="139">
        <f t="shared" si="8"/>
        <v>0</v>
      </c>
      <c r="Q45" s="139">
        <f t="shared" si="8"/>
        <v>3088674000</v>
      </c>
      <c r="R45" s="139">
        <f t="shared" si="8"/>
        <v>520000000</v>
      </c>
      <c r="S45" s="139">
        <f t="shared" si="8"/>
        <v>0</v>
      </c>
      <c r="T45" s="139">
        <f t="shared" si="8"/>
        <v>85000000</v>
      </c>
      <c r="U45" s="139">
        <f t="shared" si="8"/>
        <v>0</v>
      </c>
      <c r="V45" s="139">
        <f t="shared" si="8"/>
        <v>379029560</v>
      </c>
      <c r="W45" s="139">
        <f t="shared" si="8"/>
        <v>4867730500</v>
      </c>
      <c r="X45" s="370">
        <f t="shared" si="3"/>
        <v>0.8439584908685969</v>
      </c>
      <c r="Y45" s="368"/>
      <c r="Z45" s="393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356"/>
    </row>
    <row r="46" spans="1:38" s="369" customFormat="1" ht="18" customHeight="1">
      <c r="A46" s="372">
        <v>1</v>
      </c>
      <c r="B46" s="373" t="s">
        <v>261</v>
      </c>
      <c r="C46" s="139">
        <v>100000000</v>
      </c>
      <c r="D46" s="374">
        <f aca="true" t="shared" si="9" ref="D46:D51">SUM(E46:O46,S46:W46)</f>
        <v>100000000</v>
      </c>
      <c r="E46" s="352">
        <v>15000000</v>
      </c>
      <c r="F46" s="352"/>
      <c r="G46" s="352"/>
      <c r="H46" s="352"/>
      <c r="I46" s="352"/>
      <c r="J46" s="352"/>
      <c r="K46" s="352"/>
      <c r="L46" s="352"/>
      <c r="M46" s="352"/>
      <c r="N46" s="373" t="s">
        <v>261</v>
      </c>
      <c r="O46" s="352">
        <f aca="true" t="shared" si="10" ref="O46:O51">P46+Q46+R46</f>
        <v>0</v>
      </c>
      <c r="P46" s="352"/>
      <c r="Q46" s="352"/>
      <c r="R46" s="352"/>
      <c r="S46" s="352"/>
      <c r="T46" s="352">
        <v>85000000</v>
      </c>
      <c r="U46" s="352"/>
      <c r="V46" s="352"/>
      <c r="W46" s="352"/>
      <c r="X46" s="375">
        <f t="shared" si="3"/>
        <v>1</v>
      </c>
      <c r="Y46" s="371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</row>
    <row r="47" spans="1:38" s="369" customFormat="1" ht="18" customHeight="1">
      <c r="A47" s="372">
        <v>2</v>
      </c>
      <c r="B47" s="373" t="s">
        <v>254</v>
      </c>
      <c r="C47" s="139">
        <v>3819000000</v>
      </c>
      <c r="D47" s="374">
        <f t="shared" si="9"/>
        <v>520000000</v>
      </c>
      <c r="E47" s="352"/>
      <c r="F47" s="352"/>
      <c r="G47" s="352"/>
      <c r="H47" s="352"/>
      <c r="I47" s="352"/>
      <c r="J47" s="352"/>
      <c r="K47" s="352"/>
      <c r="L47" s="352"/>
      <c r="M47" s="352"/>
      <c r="N47" s="373" t="s">
        <v>254</v>
      </c>
      <c r="O47" s="352">
        <f t="shared" si="10"/>
        <v>520000000</v>
      </c>
      <c r="P47" s="352"/>
      <c r="Q47" s="352"/>
      <c r="R47" s="352">
        <v>520000000</v>
      </c>
      <c r="S47" s="352"/>
      <c r="T47" s="352"/>
      <c r="U47" s="352"/>
      <c r="V47" s="352"/>
      <c r="W47" s="352"/>
      <c r="X47" s="375">
        <f t="shared" si="3"/>
        <v>0.13616129876931135</v>
      </c>
      <c r="Y47" s="371"/>
      <c r="Z47" s="356"/>
      <c r="AA47" s="356"/>
      <c r="AB47" s="356"/>
      <c r="AC47" s="356"/>
      <c r="AD47" s="356"/>
      <c r="AE47" s="356"/>
      <c r="AF47" s="356"/>
      <c r="AG47" s="356"/>
      <c r="AH47" s="356"/>
      <c r="AI47" s="356"/>
      <c r="AJ47" s="356"/>
      <c r="AK47" s="356"/>
      <c r="AL47" s="356"/>
    </row>
    <row r="48" spans="1:38" s="369" customFormat="1" ht="18" customHeight="1">
      <c r="A48" s="372">
        <v>3</v>
      </c>
      <c r="B48" s="373" t="s">
        <v>559</v>
      </c>
      <c r="C48" s="139">
        <v>96000000</v>
      </c>
      <c r="D48" s="374">
        <f t="shared" si="9"/>
        <v>515000000</v>
      </c>
      <c r="E48" s="352"/>
      <c r="F48" s="352"/>
      <c r="G48" s="352"/>
      <c r="H48" s="352">
        <f>550000000-35000000</f>
        <v>515000000</v>
      </c>
      <c r="I48" s="352"/>
      <c r="J48" s="352"/>
      <c r="K48" s="352"/>
      <c r="L48" s="352"/>
      <c r="M48" s="352"/>
      <c r="N48" s="373" t="s">
        <v>559</v>
      </c>
      <c r="O48" s="352">
        <f t="shared" si="10"/>
        <v>0</v>
      </c>
      <c r="P48" s="352"/>
      <c r="Q48" s="352"/>
      <c r="R48" s="352"/>
      <c r="S48" s="352"/>
      <c r="T48" s="352"/>
      <c r="U48" s="352"/>
      <c r="V48" s="352"/>
      <c r="W48" s="352"/>
      <c r="X48" s="375">
        <f t="shared" si="3"/>
        <v>5.364583333333333</v>
      </c>
      <c r="Y48" s="371"/>
      <c r="Z48" s="356"/>
      <c r="AA48" s="356"/>
      <c r="AB48" s="356"/>
      <c r="AC48" s="356"/>
      <c r="AD48" s="356"/>
      <c r="AE48" s="356"/>
      <c r="AF48" s="356"/>
      <c r="AG48" s="356"/>
      <c r="AH48" s="356"/>
      <c r="AI48" s="356"/>
      <c r="AJ48" s="356"/>
      <c r="AK48" s="356"/>
      <c r="AL48" s="356"/>
    </row>
    <row r="49" spans="1:38" s="369" customFormat="1" ht="18" customHeight="1">
      <c r="A49" s="372">
        <v>4</v>
      </c>
      <c r="B49" s="373" t="s">
        <v>257</v>
      </c>
      <c r="C49" s="139"/>
      <c r="D49" s="374">
        <f t="shared" si="9"/>
        <v>3000000</v>
      </c>
      <c r="E49" s="352"/>
      <c r="F49" s="352"/>
      <c r="G49" s="352"/>
      <c r="H49" s="352"/>
      <c r="I49" s="352"/>
      <c r="J49" s="352"/>
      <c r="K49" s="352">
        <v>3000000</v>
      </c>
      <c r="L49" s="352"/>
      <c r="M49" s="352"/>
      <c r="N49" s="373" t="s">
        <v>257</v>
      </c>
      <c r="O49" s="352">
        <f t="shared" si="10"/>
        <v>0</v>
      </c>
      <c r="P49" s="352"/>
      <c r="Q49" s="352"/>
      <c r="R49" s="352"/>
      <c r="S49" s="352"/>
      <c r="T49" s="352"/>
      <c r="U49" s="352"/>
      <c r="V49" s="352"/>
      <c r="W49" s="352"/>
      <c r="X49" s="375"/>
      <c r="Y49" s="371"/>
      <c r="Z49" s="356"/>
      <c r="AA49" s="356"/>
      <c r="AB49" s="356"/>
      <c r="AC49" s="356"/>
      <c r="AD49" s="356"/>
      <c r="AE49" s="356"/>
      <c r="AF49" s="356"/>
      <c r="AG49" s="356"/>
      <c r="AH49" s="356"/>
      <c r="AI49" s="356"/>
      <c r="AJ49" s="356"/>
      <c r="AK49" s="356"/>
      <c r="AL49" s="356"/>
    </row>
    <row r="50" spans="1:38" s="369" customFormat="1" ht="18" customHeight="1">
      <c r="A50" s="372">
        <v>5</v>
      </c>
      <c r="B50" s="373" t="s">
        <v>548</v>
      </c>
      <c r="C50" s="139"/>
      <c r="D50" s="374">
        <f t="shared" si="9"/>
        <v>3088674000</v>
      </c>
      <c r="E50" s="352"/>
      <c r="F50" s="352"/>
      <c r="G50" s="352"/>
      <c r="H50" s="352"/>
      <c r="I50" s="352"/>
      <c r="J50" s="352"/>
      <c r="K50" s="352"/>
      <c r="L50" s="352"/>
      <c r="M50" s="352"/>
      <c r="N50" s="373" t="s">
        <v>548</v>
      </c>
      <c r="O50" s="352">
        <f t="shared" si="10"/>
        <v>3088674000</v>
      </c>
      <c r="P50" s="352"/>
      <c r="Q50" s="352">
        <v>3088674000</v>
      </c>
      <c r="R50" s="352"/>
      <c r="S50" s="352"/>
      <c r="T50" s="352"/>
      <c r="U50" s="352"/>
      <c r="V50" s="352"/>
      <c r="W50" s="352"/>
      <c r="X50" s="375"/>
      <c r="Y50" s="371"/>
      <c r="Z50" s="356"/>
      <c r="AA50" s="356"/>
      <c r="AB50" s="356"/>
      <c r="AC50" s="356"/>
      <c r="AD50" s="356"/>
      <c r="AE50" s="356"/>
      <c r="AF50" s="356"/>
      <c r="AG50" s="356"/>
      <c r="AH50" s="356"/>
      <c r="AI50" s="356"/>
      <c r="AJ50" s="356"/>
      <c r="AK50" s="356"/>
      <c r="AL50" s="356"/>
    </row>
    <row r="51" spans="1:38" s="369" customFormat="1" ht="18" customHeight="1">
      <c r="A51" s="380">
        <v>6</v>
      </c>
      <c r="B51" s="381" t="s">
        <v>592</v>
      </c>
      <c r="C51" s="382">
        <v>7210000000</v>
      </c>
      <c r="D51" s="383">
        <f t="shared" si="9"/>
        <v>5246760060</v>
      </c>
      <c r="E51" s="355"/>
      <c r="F51" s="355"/>
      <c r="G51" s="355"/>
      <c r="H51" s="355"/>
      <c r="I51" s="355"/>
      <c r="J51" s="355"/>
      <c r="K51" s="355"/>
      <c r="L51" s="355"/>
      <c r="M51" s="355"/>
      <c r="N51" s="381" t="s">
        <v>592</v>
      </c>
      <c r="O51" s="355">
        <f t="shared" si="10"/>
        <v>0</v>
      </c>
      <c r="P51" s="355"/>
      <c r="Q51" s="355"/>
      <c r="R51" s="355"/>
      <c r="S51" s="355"/>
      <c r="T51" s="355"/>
      <c r="U51" s="355"/>
      <c r="V51" s="355">
        <f>295000000+84029560</f>
        <v>379029560</v>
      </c>
      <c r="W51" s="355">
        <f>4579112500+288618000</f>
        <v>4867730500</v>
      </c>
      <c r="X51" s="384">
        <f t="shared" si="3"/>
        <v>0.727705972260749</v>
      </c>
      <c r="Y51" s="371"/>
      <c r="Z51" s="356"/>
      <c r="AA51" s="356"/>
      <c r="AB51" s="356"/>
      <c r="AC51" s="356"/>
      <c r="AD51" s="356"/>
      <c r="AE51" s="356"/>
      <c r="AF51" s="356"/>
      <c r="AG51" s="356"/>
      <c r="AH51" s="356"/>
      <c r="AI51" s="356"/>
      <c r="AJ51" s="356"/>
      <c r="AK51" s="356"/>
      <c r="AL51" s="356"/>
    </row>
    <row r="52" spans="1:25" ht="18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1:25" ht="18.75">
      <c r="A53" s="22"/>
      <c r="B53" s="22"/>
      <c r="C53" s="22"/>
      <c r="D53" s="18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spans="1:25" ht="18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</sheetData>
  <sheetProtection/>
  <mergeCells count="27">
    <mergeCell ref="A2:M2"/>
    <mergeCell ref="A3:M3"/>
    <mergeCell ref="O6:O7"/>
    <mergeCell ref="P6:P8"/>
    <mergeCell ref="J5:J8"/>
    <mergeCell ref="E5:E8"/>
    <mergeCell ref="M5:M8"/>
    <mergeCell ref="O5:R5"/>
    <mergeCell ref="H5:H8"/>
    <mergeCell ref="I5:I8"/>
    <mergeCell ref="R6:R8"/>
    <mergeCell ref="S5:S8"/>
    <mergeCell ref="V5:V8"/>
    <mergeCell ref="W5:W8"/>
    <mergeCell ref="X5:X8"/>
    <mergeCell ref="L5:L8"/>
    <mergeCell ref="T5:T8"/>
    <mergeCell ref="U5:U8"/>
    <mergeCell ref="A5:A8"/>
    <mergeCell ref="B5:B8"/>
    <mergeCell ref="C5:C8"/>
    <mergeCell ref="D5:D8"/>
    <mergeCell ref="F5:F8"/>
    <mergeCell ref="K5:K8"/>
    <mergeCell ref="Q6:Q8"/>
    <mergeCell ref="N5:N8"/>
    <mergeCell ref="G5:G8"/>
  </mergeCells>
  <printOptions/>
  <pageMargins left="0.28" right="0" top="0.63" bottom="0.94" header="0" footer="0.5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 Viet Hung</dc:creator>
  <cp:keywords/>
  <dc:description/>
  <cp:lastModifiedBy>User</cp:lastModifiedBy>
  <cp:lastPrinted>2019-06-06T07:21:57Z</cp:lastPrinted>
  <dcterms:created xsi:type="dcterms:W3CDTF">2001-01-04T01:21:32Z</dcterms:created>
  <dcterms:modified xsi:type="dcterms:W3CDTF">2019-06-06T10:06:59Z</dcterms:modified>
  <cp:category/>
  <cp:version/>
  <cp:contentType/>
  <cp:contentStatus/>
</cp:coreProperties>
</file>